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APVIENIBA\DATI_APREĶINI\"/>
    </mc:Choice>
  </mc:AlternateContent>
  <bookViews>
    <workbookView xWindow="0" yWindow="0" windowWidth="10515" windowHeight="12150"/>
  </bookViews>
  <sheets>
    <sheet name="Aprēķinam 0101_30042026" sheetId="4" r:id="rId1"/>
    <sheet name="Aprēķinam no 0105_31102026" sheetId="3" r:id="rId2"/>
    <sheet name="Aprēķinam no 01112026" sheetId="5" r:id="rId3"/>
    <sheet name="Dažādi" sheetId="2" r:id="rId4"/>
  </sheets>
  <definedNames>
    <definedName name="_xlnm.Print_Area" localSheetId="0">'Aprēķinam 0101_30042026'!$A$1:$I$38</definedName>
    <definedName name="_xlnm.Print_Area" localSheetId="1">'Aprēķinam no 0105_31102026'!$A$1:$I$38</definedName>
    <definedName name="_xlnm.Print_Area" localSheetId="2">'Aprēķinam no 01112026'!$A$1:$I$38</definedName>
    <definedName name="_xlnm.Print_Area" localSheetId="3">Dažādi!$A$1:$I$37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5" l="1"/>
  <c r="F37" i="5" s="1"/>
  <c r="F21" i="5"/>
  <c r="H21" i="5" s="1"/>
  <c r="A14" i="5"/>
  <c r="B20" i="5" s="1"/>
  <c r="A13" i="5"/>
  <c r="K9" i="5"/>
  <c r="H8" i="5"/>
  <c r="B20" i="3"/>
  <c r="B17" i="3"/>
  <c r="B16" i="3"/>
  <c r="B16" i="4"/>
  <c r="B19" i="3"/>
  <c r="A14" i="3"/>
  <c r="A13" i="3"/>
  <c r="C20" i="5" l="1"/>
  <c r="F20" i="5" s="1"/>
  <c r="H20" i="5" s="1"/>
  <c r="H36" i="5"/>
  <c r="I36" i="5" s="1"/>
  <c r="K10" i="5" s="1"/>
  <c r="B16" i="5"/>
  <c r="B17" i="5"/>
  <c r="B19" i="5"/>
  <c r="B20" i="4"/>
  <c r="C20" i="4" s="1"/>
  <c r="B19" i="4"/>
  <c r="C19" i="4" s="1"/>
  <c r="B17" i="4"/>
  <c r="C17" i="4" s="1"/>
  <c r="C16" i="4"/>
  <c r="F36" i="4"/>
  <c r="F37" i="4" s="1"/>
  <c r="F21" i="4"/>
  <c r="H21" i="4" s="1"/>
  <c r="K9" i="4"/>
  <c r="K11" i="5" l="1"/>
  <c r="K8" i="5"/>
  <c r="C19" i="5"/>
  <c r="F19" i="5"/>
  <c r="H19" i="5" s="1"/>
  <c r="C16" i="5"/>
  <c r="F16" i="5"/>
  <c r="H16" i="5" s="1"/>
  <c r="C17" i="5"/>
  <c r="F17" i="5"/>
  <c r="H17" i="5" s="1"/>
  <c r="F16" i="4"/>
  <c r="H16" i="4" s="1"/>
  <c r="F19" i="4"/>
  <c r="H19" i="4" s="1"/>
  <c r="F20" i="4"/>
  <c r="H20" i="4" s="1"/>
  <c r="H36" i="4"/>
  <c r="I36" i="4" s="1"/>
  <c r="K10" i="4" s="1"/>
  <c r="K11" i="4" s="1"/>
  <c r="H8" i="3"/>
  <c r="K8" i="4" l="1"/>
  <c r="F17" i="4" s="1"/>
  <c r="H17" i="4" s="1"/>
  <c r="C20" i="3" l="1"/>
  <c r="C19" i="3"/>
  <c r="C17" i="3"/>
  <c r="C16" i="3"/>
  <c r="F36" i="3" l="1"/>
  <c r="F37" i="3" s="1"/>
  <c r="K9" i="3"/>
  <c r="F21" i="3"/>
  <c r="H21" i="3" s="1"/>
  <c r="H36" i="3" l="1"/>
  <c r="I36" i="3" s="1"/>
  <c r="K10" i="3" s="1"/>
  <c r="K11" i="3" s="1"/>
  <c r="F20" i="3"/>
  <c r="H20" i="3" s="1"/>
  <c r="F16" i="3"/>
  <c r="H16" i="3" s="1"/>
  <c r="F19" i="3"/>
  <c r="H19" i="3" s="1"/>
  <c r="P6" i="2"/>
  <c r="U19" i="2" s="1"/>
  <c r="P19" i="2" s="1"/>
  <c r="P16" i="2"/>
  <c r="P10" i="2"/>
  <c r="P8" i="2"/>
  <c r="P7" i="2"/>
  <c r="O6" i="2"/>
  <c r="T15" i="2" s="1"/>
  <c r="O15" i="2" s="1"/>
  <c r="R20" i="2"/>
  <c r="M20" i="2"/>
  <c r="M19" i="2"/>
  <c r="R19" i="2"/>
  <c r="S18" i="2"/>
  <c r="N18" i="2" s="1"/>
  <c r="R18" i="2"/>
  <c r="N6" i="2"/>
  <c r="S19" i="2" s="1"/>
  <c r="N19" i="2" s="1"/>
  <c r="M15" i="2"/>
  <c r="M18" i="2"/>
  <c r="R15" i="2"/>
  <c r="H15" i="2"/>
  <c r="F15" i="2"/>
  <c r="O16" i="2"/>
  <c r="O10" i="2"/>
  <c r="O8" i="2"/>
  <c r="O7" i="2"/>
  <c r="N16" i="2"/>
  <c r="N10" i="2"/>
  <c r="N8" i="2"/>
  <c r="N7" i="2"/>
  <c r="M16" i="2"/>
  <c r="M10" i="2"/>
  <c r="M8" i="2"/>
  <c r="M7" i="2"/>
  <c r="K8" i="3" l="1"/>
  <c r="F17" i="3" s="1"/>
  <c r="H17" i="3" s="1"/>
  <c r="U18" i="2"/>
  <c r="P18" i="2" s="1"/>
  <c r="U20" i="2"/>
  <c r="P20" i="2" s="1"/>
  <c r="U15" i="2"/>
  <c r="P15" i="2" s="1"/>
  <c r="T19" i="2"/>
  <c r="O19" i="2" s="1"/>
  <c r="T20" i="2"/>
  <c r="O20" i="2" s="1"/>
  <c r="T18" i="2"/>
  <c r="O18" i="2" s="1"/>
  <c r="S20" i="2"/>
  <c r="N20" i="2" s="1"/>
  <c r="S15" i="2"/>
  <c r="N15" i="2" s="1"/>
  <c r="F20" i="2"/>
  <c r="F19" i="2"/>
  <c r="F18" i="2"/>
  <c r="H20" i="2" l="1"/>
  <c r="F35" i="2"/>
  <c r="F36" i="2" s="1"/>
  <c r="H10" i="2"/>
  <c r="H8" i="2"/>
  <c r="K8" i="2" s="1"/>
  <c r="H7" i="2"/>
  <c r="H19" i="2" l="1"/>
  <c r="H35" i="2"/>
  <c r="I35" i="2" s="1"/>
  <c r="K9" i="2" s="1"/>
  <c r="K7" i="2" s="1"/>
  <c r="H18" i="2"/>
  <c r="K10" i="2" l="1"/>
  <c r="F16" i="2" s="1"/>
  <c r="H16" i="2" s="1"/>
</calcChain>
</file>

<file path=xl/comments1.xml><?xml version="1.0" encoding="utf-8"?>
<comments xmlns="http://schemas.openxmlformats.org/spreadsheetml/2006/main">
  <authors>
    <author>User</author>
  </authors>
  <commentList>
    <comment ref="B16" authorId="0" shapeId="0">
      <text>
        <r>
          <rPr>
            <sz val="9"/>
            <color indexed="81"/>
            <rFont val="Tahoma"/>
            <family val="2"/>
            <charset val="204"/>
          </rPr>
          <t>20% no no CSP publicētās minimālo ienākumu mediānas uz vienu patērētāju mēnesī.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04"/>
          </rPr>
          <t>50% no ienākumu mediānas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04"/>
          </rPr>
          <t>80% no ienākumu mediānas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04"/>
          </rPr>
          <t>60% no ienākumu mediānas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19" authorId="0" shapeId="0">
      <text>
        <r>
          <rPr>
            <sz val="9"/>
            <color indexed="81"/>
            <rFont val="Tahoma"/>
            <family val="2"/>
            <charset val="204"/>
          </rPr>
          <t>50% no ienākumu mediānas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04"/>
          </rPr>
          <t>80% no ienākumu mediānas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B19" authorId="0" shapeId="0">
      <text>
        <r>
          <rPr>
            <sz val="9"/>
            <color indexed="81"/>
            <rFont val="Tahoma"/>
            <family val="2"/>
            <charset val="204"/>
          </rPr>
          <t>50% no ienākumu mediānas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04"/>
          </rPr>
          <t>80% no ienākumu mediānas</t>
        </r>
      </text>
    </comment>
  </commentList>
</comments>
</file>

<file path=xl/sharedStrings.xml><?xml version="1.0" encoding="utf-8"?>
<sst xmlns="http://schemas.openxmlformats.org/spreadsheetml/2006/main" count="211" uniqueCount="59">
  <si>
    <t>Trūcīgas mājsaimniecības statuss</t>
  </si>
  <si>
    <t>Koef.</t>
  </si>
  <si>
    <t>Mājsaimniecībā deklarēto ģimenes locekļu skaits</t>
  </si>
  <si>
    <t>ATBALSTU KALKULATORS ĢIMENĒM AR BĒRNIEM</t>
  </si>
  <si>
    <t xml:space="preserve">Minimālo ienākumu sliekšņi </t>
  </si>
  <si>
    <t>1.personai</t>
  </si>
  <si>
    <t>2.+ personai</t>
  </si>
  <si>
    <t>Slieksnis Eiropas atbalsta paku saņemšanai</t>
  </si>
  <si>
    <t>Pašvaldības sociālā palīdzība ietver divus pamata pabalstus (GMI un mājokļa pabalstu), ko piešķir, vērtējot mājsaimniecības ienākumus.</t>
  </si>
  <si>
    <t>Trūcīgas mājsaimniecības ienākumu slieksnis visā valstī (jebkurā pašvaldībā) ir vienāds.</t>
  </si>
  <si>
    <t>Likums nosaka tikai maksimālo un minimālo maznodrošinātas mājsaimniecības ienākumu slieksni.</t>
  </si>
  <si>
    <t xml:space="preserve">https://likumi.lv/ta/id/319717-noteikumi-par-majsaimniecibas-materialas-situacijas-izvertesanu-un-socialas-palidzibas-sanemsanu </t>
  </si>
  <si>
    <t>Svarīgākās normas pabalstu aprēķināšanai (lai notiektu attiecināmās izmaksas)</t>
  </si>
  <si>
    <t>EUR</t>
  </si>
  <si>
    <t>Komunālie maksājumi par mājokli</t>
  </si>
  <si>
    <t xml:space="preserve">ne vairāk kā </t>
  </si>
  <si>
    <t>Īrētā vai hip.kredītā ņemtā mājokļa platība m2</t>
  </si>
  <si>
    <t>Garantētais minimālais ienākuma pabalsts</t>
  </si>
  <si>
    <t>Mājsaimniecības neto ienākumi mēnesī, neskaitot ĢVP</t>
  </si>
  <si>
    <t>Starprēķini</t>
  </si>
  <si>
    <t>Aprēķinātais pabalsts</t>
  </si>
  <si>
    <t>Atbilstība statusam</t>
  </si>
  <si>
    <t>** Pašvaldība var noteikt iedzīvotājumiem labvēlīgākus nosacījumus attiecībā uz mājokļu pabalstu nekā likumā noteiktās minimālās normas</t>
  </si>
  <si>
    <t>Mājokļa pabalsts **</t>
  </si>
  <si>
    <t>Maznodrošinātās mājsaimniecības statuss *</t>
  </si>
  <si>
    <t>* Maznodrošinātas mājsaimniecības ienākumu slieksni pašvaldība var noteikt lielāku nekā likumā noteiktais minimums.</t>
  </si>
  <si>
    <t>Ja mājsaimniecībā dzīvo persona ar invaliditāti, tad ir papildus normas</t>
  </si>
  <si>
    <t>Maksimālie lielumi, kas attiecināmi uz pabalstu aprēķiniem</t>
  </si>
  <si>
    <t>m2</t>
  </si>
  <si>
    <t>(maksimālo nosaka pašvaldība)</t>
  </si>
  <si>
    <t xml:space="preserve">Minimālā īres maksa par m2 </t>
  </si>
  <si>
    <t>Ikmēneša izdevumi par īri , EUR</t>
  </si>
  <si>
    <t xml:space="preserve">https://likumi.lv/ta/id/68488-socialo-pakalpojumu-un-socialas-palidzibas-likums </t>
  </si>
  <si>
    <t>Piešķirtais Ģimenes valsts pabalsts ĢVP ***</t>
  </si>
  <si>
    <t>*** Sociālo pakalpojumu un sociālās palīdzības likuma 36. pantā noteikti izdevumi, kas samazina aprēķinos izmantotos mājsaimniecības ienākumus, t.sk.ĢVP</t>
  </si>
  <si>
    <t>Maksimālais m2 skaits mājsaimniecībai</t>
  </si>
  <si>
    <t>Mājokļa pabalsta aprēķināšanai  minimālās / maksimālās normas</t>
  </si>
  <si>
    <t>vai hipot.kredīta maksājums par vienīgo mājokli, EUR</t>
  </si>
  <si>
    <t>Mājsaimniecībā deklarēto BĒRNU skaits</t>
  </si>
  <si>
    <t xml:space="preserve">2 x minimālā alga </t>
  </si>
  <si>
    <t>1.</t>
  </si>
  <si>
    <t>2.</t>
  </si>
  <si>
    <t>3.</t>
  </si>
  <si>
    <t xml:space="preserve">2 x Vidzemes reģiona vidējā alga alga </t>
  </si>
  <si>
    <t xml:space="preserve">2 x minimālā alga valstī 700 EUR </t>
  </si>
  <si>
    <t>1 vid.alga + 1 "māmiņalga" 1,5g BKA laikā*</t>
  </si>
  <si>
    <t>* BKP + Vecāku pabalsts, kas rēķināts no Vidzemes reģiona vidējās algas</t>
  </si>
  <si>
    <t>4.</t>
  </si>
  <si>
    <t>1 Latvijas vidējā alga **</t>
  </si>
  <si>
    <t>** solo vecāks ar 2 bērniem</t>
  </si>
  <si>
    <t>2024.GADĀ</t>
  </si>
  <si>
    <t>ATBALSTU KALKULATORS DAŽĀDĀM MĀJSAIMNIECĪBĀM AR BĒRNIEM</t>
  </si>
  <si>
    <t>Pabalsta maksimums</t>
  </si>
  <si>
    <t>Slieksnis Eiropas atbalsta paku saņemšanai līdz 30/04/2025</t>
  </si>
  <si>
    <t>ienākumu mediāna 2026.gadam</t>
  </si>
  <si>
    <t>ATBALSTU KALKULATORS ĢIMENĒM AR BĒRNIEM 2026.GADAM</t>
  </si>
  <si>
    <t>PERIODAM NO 1.JANVĀRA LĪDZ 30.APRĪLIM</t>
  </si>
  <si>
    <t>PERIODAM NO 1.MAIJA LĪDZ 31.OKTOBRIM</t>
  </si>
  <si>
    <t>PERIODAM NO 1.NOVEMBRA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</si>
</sst>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B_r_-;\-* #,##0.00\ _B_r_-;_-* &quot;-&quot;??\ _B_r_-;_-@_-"/>
    <numFmt numFmtId="165" formatCode="_-* #,##0\ _B_r_-;\-* #,##0\ _B_r_-;_-* &quot;-&quot;??\ _B_r_-;_-@_-"/>
    <numFmt numFmtId="166" formatCode="#,##0.00_ ;\-#,##0.00\ "/>
    <numFmt numFmtId="167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0"/>
      <color rgb="FFFF0000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2"/>
    <xf numFmtId="0" fontId="8" fillId="0" borderId="0" xfId="0" applyFont="1"/>
    <xf numFmtId="0" fontId="0" fillId="0" borderId="0" xfId="0" applyAlignment="1">
      <alignment horizontal="right"/>
    </xf>
    <xf numFmtId="164" fontId="0" fillId="0" borderId="5" xfId="0" applyNumberForma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2" fillId="0" borderId="5" xfId="0" applyFont="1" applyBorder="1"/>
    <xf numFmtId="0" fontId="0" fillId="0" borderId="5" xfId="0" applyBorder="1"/>
    <xf numFmtId="2" fontId="0" fillId="0" borderId="5" xfId="0" applyNumberFormat="1" applyBorder="1"/>
    <xf numFmtId="165" fontId="0" fillId="0" borderId="5" xfId="0" applyNumberFormat="1" applyBorder="1"/>
    <xf numFmtId="0" fontId="0" fillId="0" borderId="0" xfId="0" applyFont="1"/>
    <xf numFmtId="0" fontId="9" fillId="0" borderId="0" xfId="0" applyFont="1"/>
    <xf numFmtId="2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0" fillId="0" borderId="5" xfId="0" applyNumberFormat="1" applyBorder="1"/>
    <xf numFmtId="166" fontId="0" fillId="0" borderId="5" xfId="0" applyNumberFormat="1" applyFont="1" applyBorder="1"/>
    <xf numFmtId="0" fontId="5" fillId="2" borderId="5" xfId="0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10" fillId="0" borderId="0" xfId="0" applyFont="1"/>
    <xf numFmtId="0" fontId="2" fillId="0" borderId="5" xfId="0" applyFont="1" applyBorder="1" applyAlignment="1">
      <alignment vertical="top" wrapText="1"/>
    </xf>
    <xf numFmtId="164" fontId="11" fillId="0" borderId="5" xfId="1" applyFont="1" applyBorder="1" applyAlignment="1">
      <alignment horizontal="center" vertical="center"/>
    </xf>
    <xf numFmtId="164" fontId="11" fillId="0" borderId="0" xfId="1" applyFont="1" applyAlignment="1">
      <alignment horizontal="center" vertical="center"/>
    </xf>
    <xf numFmtId="1" fontId="6" fillId="0" borderId="2" xfId="0" applyNumberFormat="1" applyFont="1" applyFill="1" applyBorder="1" applyAlignment="1">
      <alignment horizontal="center"/>
    </xf>
    <xf numFmtId="2" fontId="6" fillId="0" borderId="3" xfId="1" applyNumberFormat="1" applyFont="1" applyFill="1" applyBorder="1" applyAlignment="1">
      <alignment horizontal="center"/>
    </xf>
    <xf numFmtId="0" fontId="0" fillId="0" borderId="0" xfId="0" applyFill="1" applyAlignment="1">
      <alignment wrapText="1"/>
    </xf>
    <xf numFmtId="2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2" fontId="15" fillId="0" borderId="3" xfId="1" applyNumberFormat="1" applyFont="1" applyFill="1" applyBorder="1" applyAlignment="1">
      <alignment horizontal="center"/>
    </xf>
    <xf numFmtId="167" fontId="15" fillId="0" borderId="3" xfId="1" applyNumberFormat="1" applyFont="1" applyFill="1" applyBorder="1" applyAlignment="1">
      <alignment horizontal="center"/>
    </xf>
    <xf numFmtId="2" fontId="15" fillId="0" borderId="4" xfId="0" applyNumberFormat="1" applyFont="1" applyFill="1" applyBorder="1" applyAlignment="1">
      <alignment horizontal="center"/>
    </xf>
    <xf numFmtId="0" fontId="6" fillId="0" borderId="0" xfId="0" applyFont="1"/>
    <xf numFmtId="0" fontId="11" fillId="0" borderId="0" xfId="0" applyFont="1" applyFill="1" applyAlignment="1">
      <alignment horizontal="center"/>
    </xf>
    <xf numFmtId="164" fontId="0" fillId="0" borderId="0" xfId="0" applyNumberFormat="1"/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/>
    </xf>
    <xf numFmtId="2" fontId="16" fillId="0" borderId="5" xfId="0" applyNumberFormat="1" applyFont="1" applyFill="1" applyBorder="1" applyAlignment="1">
      <alignment horizontal="center" wrapText="1"/>
    </xf>
    <xf numFmtId="0" fontId="17" fillId="0" borderId="0" xfId="0" quotePrefix="1" applyFont="1" applyAlignment="1">
      <alignment wrapText="1"/>
    </xf>
    <xf numFmtId="2" fontId="18" fillId="0" borderId="1" xfId="0" applyNumberFormat="1" applyFont="1" applyBorder="1" applyAlignment="1">
      <alignment horizontal="center" wrapText="1"/>
    </xf>
    <xf numFmtId="0" fontId="18" fillId="0" borderId="1" xfId="0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/>
    </xf>
    <xf numFmtId="2" fontId="10" fillId="0" borderId="3" xfId="1" applyNumberFormat="1" applyFont="1" applyFill="1" applyBorder="1" applyAlignment="1">
      <alignment horizontal="center"/>
    </xf>
    <xf numFmtId="0" fontId="19" fillId="0" borderId="5" xfId="0" applyFont="1" applyBorder="1" applyAlignment="1">
      <alignment wrapText="1"/>
    </xf>
    <xf numFmtId="0" fontId="19" fillId="0" borderId="5" xfId="0" applyFont="1" applyBorder="1" applyAlignment="1">
      <alignment vertical="top" wrapText="1"/>
    </xf>
    <xf numFmtId="0" fontId="17" fillId="0" borderId="0" xfId="0" quotePrefix="1" applyFont="1" applyAlignment="1">
      <alignment vertical="top" wrapText="1"/>
    </xf>
    <xf numFmtId="0" fontId="17" fillId="0" borderId="10" xfId="0" quotePrefix="1" applyFont="1" applyBorder="1" applyAlignment="1">
      <alignment horizontal="center" wrapText="1"/>
    </xf>
    <xf numFmtId="0" fontId="17" fillId="0" borderId="10" xfId="0" quotePrefix="1" applyFont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2" fontId="22" fillId="0" borderId="5" xfId="0" applyNumberFormat="1" applyFont="1" applyBorder="1"/>
    <xf numFmtId="166" fontId="22" fillId="0" borderId="5" xfId="0" applyNumberFormat="1" applyFont="1" applyBorder="1"/>
    <xf numFmtId="165" fontId="22" fillId="0" borderId="5" xfId="0" applyNumberFormat="1" applyFont="1" applyBorder="1"/>
    <xf numFmtId="2" fontId="7" fillId="0" borderId="3" xfId="1" applyNumberFormat="1" applyFont="1" applyFill="1" applyBorder="1" applyAlignment="1">
      <alignment horizontal="center"/>
    </xf>
    <xf numFmtId="1" fontId="7" fillId="0" borderId="2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1" fontId="6" fillId="0" borderId="3" xfId="1" applyNumberFormat="1" applyFont="1" applyFill="1" applyBorder="1" applyAlignment="1">
      <alignment horizontal="center"/>
    </xf>
    <xf numFmtId="2" fontId="18" fillId="3" borderId="1" xfId="0" applyNumberFormat="1" applyFont="1" applyFill="1" applyBorder="1" applyAlignment="1">
      <alignment horizontal="center" wrapText="1"/>
    </xf>
    <xf numFmtId="164" fontId="0" fillId="0" borderId="5" xfId="0" applyNumberFormat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5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18" fillId="3" borderId="1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/>
    </xf>
    <xf numFmtId="167" fontId="9" fillId="3" borderId="5" xfId="0" applyNumberFormat="1" applyFont="1" applyFill="1" applyBorder="1" applyAlignment="1">
      <alignment horizontal="center" vertical="center"/>
    </xf>
    <xf numFmtId="0" fontId="23" fillId="3" borderId="0" xfId="0" applyFont="1" applyFill="1"/>
    <xf numFmtId="0" fontId="0" fillId="3" borderId="0" xfId="0" applyFill="1"/>
    <xf numFmtId="0" fontId="22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0" fillId="0" borderId="15" xfId="0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2" fontId="0" fillId="0" borderId="0" xfId="0" applyNumberForma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</xdr:row>
      <xdr:rowOff>0</xdr:rowOff>
    </xdr:from>
    <xdr:to>
      <xdr:col>8</xdr:col>
      <xdr:colOff>85725</xdr:colOff>
      <xdr:row>3</xdr:row>
      <xdr:rowOff>152401</xdr:rowOff>
    </xdr:to>
    <xdr:sp macro="" textlink="">
      <xdr:nvSpPr>
        <xdr:cNvPr id="2" name="TextBox 1"/>
        <xdr:cNvSpPr txBox="1"/>
      </xdr:nvSpPr>
      <xdr:spPr>
        <a:xfrm>
          <a:off x="5276850" y="266700"/>
          <a:ext cx="1485900" cy="638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lv-LV" sz="1100" b="1">
              <a:solidFill>
                <a:srgbClr val="C00000"/>
              </a:solidFill>
            </a:rPr>
            <a:t>Maini</a:t>
          </a:r>
          <a:r>
            <a:rPr lang="lv-LV" sz="1100" b="1" baseline="0">
              <a:solidFill>
                <a:srgbClr val="C00000"/>
              </a:solidFill>
            </a:rPr>
            <a:t> atbilstoši savai mājsaimniecībai</a:t>
          </a:r>
        </a:p>
        <a:p>
          <a:pPr algn="ctr"/>
          <a:r>
            <a:rPr lang="lv-LV" sz="1100" b="1" baseline="0">
              <a:solidFill>
                <a:srgbClr val="C00000"/>
              </a:solidFill>
              <a:latin typeface="Calibri" panose="020F0502020204030204" pitchFamily="34" charset="0"/>
              <a:cs typeface="Calibri" panose="020F0502020204030204" pitchFamily="34" charset="0"/>
            </a:rPr>
            <a:t>↓</a:t>
          </a:r>
          <a:endParaRPr lang="lv-LV" sz="1100" b="1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76200</xdr:rowOff>
    </xdr:from>
    <xdr:to>
      <xdr:col>8</xdr:col>
      <xdr:colOff>83949</xdr:colOff>
      <xdr:row>3</xdr:row>
      <xdr:rowOff>160457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7325" y="342900"/>
          <a:ext cx="1493649" cy="6462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76200</xdr:rowOff>
    </xdr:from>
    <xdr:to>
      <xdr:col>8</xdr:col>
      <xdr:colOff>83949</xdr:colOff>
      <xdr:row>3</xdr:row>
      <xdr:rowOff>160457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7325" y="342900"/>
          <a:ext cx="1493649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ikumi.lv/ta/id/68488-socialo-pakalpojumu-un-socialas-palidzibas-likums" TargetMode="External"/><Relationship Id="rId1" Type="http://schemas.openxmlformats.org/officeDocument/2006/relationships/hyperlink" Target="https://likumi.lv/ta/id/319717-noteikumi-par-majsaimniecibas-materialas-situacijas-izvertesanu-un-socialas-palidzibas-sanemsan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likumi.lv/ta/id/68488-socialo-pakalpojumu-un-socialas-palidzibas-likums" TargetMode="External"/><Relationship Id="rId1" Type="http://schemas.openxmlformats.org/officeDocument/2006/relationships/hyperlink" Target="https://likumi.lv/ta/id/319717-noteikumi-par-majsaimniecibas-materialas-situacijas-izvertesanu-un-socialas-palidzibas-sanemsanu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likumi.lv/ta/id/68488-socialo-pakalpojumu-un-socialas-palidzibas-likums" TargetMode="External"/><Relationship Id="rId1" Type="http://schemas.openxmlformats.org/officeDocument/2006/relationships/hyperlink" Target="https://likumi.lv/ta/id/319717-noteikumi-par-majsaimniecibas-materialas-situacijas-izvertesanu-un-socialas-palidzibas-sanemsanu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likumi.lv/ta/id/68488-socialo-pakalpojumu-un-socialas-palidzibas-likums" TargetMode="External"/><Relationship Id="rId1" Type="http://schemas.openxmlformats.org/officeDocument/2006/relationships/hyperlink" Target="https://likumi.lv/ta/id/319717-noteikumi-par-majsaimniecibas-materialas-situacijas-izvertesanu-un-socialas-palidzibas-sanemsan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tabSelected="1" workbookViewId="0">
      <selection activeCell="H8" sqref="H8"/>
    </sheetView>
  </sheetViews>
  <sheetFormatPr defaultRowHeight="15" x14ac:dyDescent="0.25"/>
  <cols>
    <col min="1" max="1" width="25.42578125" customWidth="1"/>
    <col min="2" max="2" width="12.85546875" customWidth="1"/>
    <col min="3" max="3" width="12.5703125" customWidth="1"/>
    <col min="4" max="4" width="5.85546875" customWidth="1"/>
    <col min="5" max="5" width="8.5703125" customWidth="1"/>
    <col min="6" max="6" width="11.42578125" customWidth="1"/>
    <col min="7" max="7" width="2.28515625" style="8" customWidth="1"/>
    <col min="8" max="8" width="21.140625" customWidth="1"/>
    <col min="9" max="9" width="11.7109375" bestFit="1" customWidth="1"/>
    <col min="11" max="13" width="11.7109375" bestFit="1" customWidth="1"/>
  </cols>
  <sheetData>
    <row r="1" spans="1:12" ht="21" x14ac:dyDescent="0.35">
      <c r="A1" s="28" t="s">
        <v>55</v>
      </c>
    </row>
    <row r="2" spans="1:12" ht="21" x14ac:dyDescent="0.35">
      <c r="A2" s="85" t="s">
        <v>56</v>
      </c>
      <c r="B2" s="86"/>
      <c r="C2" s="86"/>
      <c r="D2" s="86"/>
    </row>
    <row r="3" spans="1:12" ht="38.25" customHeight="1" x14ac:dyDescent="0.35">
      <c r="A3" s="5"/>
    </row>
    <row r="4" spans="1:12" ht="19.5" thickBot="1" x14ac:dyDescent="0.35">
      <c r="A4" s="43" t="s">
        <v>3</v>
      </c>
      <c r="G4"/>
      <c r="H4" s="37"/>
      <c r="L4" s="8"/>
    </row>
    <row r="5" spans="1:12" ht="19.5" thickBot="1" x14ac:dyDescent="0.35">
      <c r="A5" s="11" t="s">
        <v>2</v>
      </c>
      <c r="G5"/>
      <c r="H5" s="70">
        <v>5</v>
      </c>
      <c r="J5" s="87" t="s">
        <v>27</v>
      </c>
      <c r="K5" s="87"/>
      <c r="L5" s="8"/>
    </row>
    <row r="6" spans="1:12" ht="17.25" customHeight="1" thickTop="1" thickBot="1" x14ac:dyDescent="0.3">
      <c r="A6" s="11" t="s">
        <v>33</v>
      </c>
      <c r="G6"/>
      <c r="H6" s="42"/>
      <c r="J6" s="87"/>
      <c r="K6" s="87"/>
      <c r="L6" s="8"/>
    </row>
    <row r="7" spans="1:12" ht="20.25" thickTop="1" thickBot="1" x14ac:dyDescent="0.35">
      <c r="A7" s="11" t="s">
        <v>18</v>
      </c>
      <c r="G7"/>
      <c r="H7" s="69">
        <v>2000</v>
      </c>
      <c r="J7" s="87"/>
      <c r="K7" s="87"/>
      <c r="L7" s="8"/>
    </row>
    <row r="8" spans="1:12" ht="20.25" thickTop="1" thickBot="1" x14ac:dyDescent="0.35">
      <c r="A8" s="38" t="s">
        <v>31</v>
      </c>
      <c r="B8" s="39"/>
      <c r="C8" s="39"/>
      <c r="D8" s="39"/>
      <c r="E8" s="39"/>
      <c r="F8" s="39"/>
      <c r="G8" s="39"/>
      <c r="H8" s="69">
        <v>250</v>
      </c>
      <c r="J8" s="65" t="s">
        <v>15</v>
      </c>
      <c r="K8" s="66">
        <f>H8/H10*K10</f>
        <v>250</v>
      </c>
      <c r="L8" s="8"/>
    </row>
    <row r="9" spans="1:12" ht="17.25" thickTop="1" thickBot="1" x14ac:dyDescent="0.3">
      <c r="A9" s="38" t="s">
        <v>37</v>
      </c>
      <c r="B9" s="39"/>
      <c r="C9" s="39"/>
      <c r="D9" s="39"/>
      <c r="E9" s="39"/>
      <c r="F9" s="39"/>
      <c r="G9" s="39"/>
      <c r="H9" s="33">
        <v>0</v>
      </c>
      <c r="J9" s="65"/>
      <c r="K9" s="67">
        <f>H9</f>
        <v>0</v>
      </c>
      <c r="L9" s="8"/>
    </row>
    <row r="10" spans="1:12" ht="17.25" thickTop="1" thickBot="1" x14ac:dyDescent="0.3">
      <c r="A10" s="38" t="s">
        <v>16</v>
      </c>
      <c r="B10" s="39"/>
      <c r="C10" s="39"/>
      <c r="D10" s="39"/>
      <c r="E10" s="39"/>
      <c r="F10" s="39"/>
      <c r="G10" s="39"/>
      <c r="H10" s="75">
        <v>100</v>
      </c>
      <c r="J10" s="65" t="s">
        <v>15</v>
      </c>
      <c r="K10" s="68">
        <f>H10+I36</f>
        <v>100</v>
      </c>
      <c r="L10" s="8"/>
    </row>
    <row r="11" spans="1:12" ht="20.25" thickTop="1" thickBot="1" x14ac:dyDescent="0.35">
      <c r="A11" s="38" t="s">
        <v>14</v>
      </c>
      <c r="B11" s="39"/>
      <c r="C11" s="39"/>
      <c r="D11" s="39"/>
      <c r="E11" s="39"/>
      <c r="F11" s="39"/>
      <c r="G11" s="39"/>
      <c r="H11" s="69">
        <v>300</v>
      </c>
      <c r="J11" s="65" t="s">
        <v>15</v>
      </c>
      <c r="K11" s="66">
        <f>H11/H10*K10</f>
        <v>300</v>
      </c>
      <c r="L11" s="8"/>
    </row>
    <row r="12" spans="1:12" ht="16.5" thickTop="1" thickBot="1" x14ac:dyDescent="0.3"/>
    <row r="13" spans="1:12" ht="19.5" customHeight="1" x14ac:dyDescent="0.25">
      <c r="A13" s="63" t="s">
        <v>54</v>
      </c>
      <c r="B13" s="88" t="s">
        <v>4</v>
      </c>
      <c r="C13" s="88"/>
      <c r="D13" s="88"/>
      <c r="F13" s="88" t="s">
        <v>19</v>
      </c>
      <c r="H13" s="89" t="s">
        <v>52</v>
      </c>
    </row>
    <row r="14" spans="1:12" s="2" customFormat="1" ht="15.75" thickBot="1" x14ac:dyDescent="0.3">
      <c r="A14" s="63">
        <v>850.02</v>
      </c>
      <c r="B14" s="71" t="s">
        <v>5</v>
      </c>
      <c r="C14" s="71" t="s">
        <v>6</v>
      </c>
      <c r="D14" s="71" t="s">
        <v>1</v>
      </c>
      <c r="F14" s="88"/>
      <c r="G14" s="9"/>
      <c r="H14" s="90"/>
    </row>
    <row r="15" spans="1:12" s="1" customFormat="1" ht="11.25" customHeight="1" thickBot="1" x14ac:dyDescent="0.3">
      <c r="G15" s="10"/>
      <c r="H15" s="34"/>
    </row>
    <row r="16" spans="1:12" s="1" customFormat="1" ht="31.5" thickBot="1" x14ac:dyDescent="0.35">
      <c r="A16" s="12" t="s">
        <v>17</v>
      </c>
      <c r="B16" s="30">
        <f>ROUND((0.22*A14),0)</f>
        <v>187</v>
      </c>
      <c r="C16" s="30">
        <f>ROUND((B16*0.7),0)</f>
        <v>131</v>
      </c>
      <c r="D16" s="13"/>
      <c r="F16" s="77">
        <f>B16+C16*(H5-1)-H7</f>
        <v>-1289</v>
      </c>
      <c r="G16" s="10">
        <v>0</v>
      </c>
      <c r="H16" s="76">
        <f>SUMIF(F16:G16,"&gt;0")</f>
        <v>0</v>
      </c>
    </row>
    <row r="17" spans="1:13" ht="30" customHeight="1" thickBot="1" x14ac:dyDescent="0.3">
      <c r="A17" s="78" t="s">
        <v>23</v>
      </c>
      <c r="B17" s="30">
        <f>ROUND((0.22*A14),0)</f>
        <v>187</v>
      </c>
      <c r="C17" s="30">
        <f>ROUND((B17*0.7),0)</f>
        <v>131</v>
      </c>
      <c r="D17" s="84">
        <v>2</v>
      </c>
      <c r="E17" s="79"/>
      <c r="F17" s="80">
        <f>(B17+C17*(H5-1))*D17+K8+K9+K11-H7</f>
        <v>-28</v>
      </c>
      <c r="G17" s="81"/>
      <c r="H17" s="82">
        <f>SUMIF(F17:G17,"&gt;0")</f>
        <v>0</v>
      </c>
      <c r="I17" s="45"/>
      <c r="K17" s="103"/>
    </row>
    <row r="18" spans="1:13" ht="16.5" thickBot="1" x14ac:dyDescent="0.3">
      <c r="B18" s="31"/>
      <c r="C18" s="31"/>
      <c r="D18" s="3"/>
      <c r="H18" s="44" t="s">
        <v>21</v>
      </c>
    </row>
    <row r="19" spans="1:13" ht="30.75" thickBot="1" x14ac:dyDescent="0.35">
      <c r="A19" s="29" t="s">
        <v>0</v>
      </c>
      <c r="B19" s="30">
        <f>ROUND((A14*0.5),0)</f>
        <v>425</v>
      </c>
      <c r="C19" s="30">
        <f>ROUND((B19*0.7),0)</f>
        <v>298</v>
      </c>
      <c r="D19" s="15"/>
      <c r="F19" s="22">
        <f>B19+C19*($H$5-1)-$H$7</f>
        <v>-383</v>
      </c>
      <c r="H19" s="36" t="str">
        <f>IF(F19&gt;0,"ATBILST","NEATBILST")</f>
        <v>NEATBILST</v>
      </c>
    </row>
    <row r="20" spans="1:13" ht="31.5" thickBot="1" x14ac:dyDescent="0.35">
      <c r="A20" s="12" t="s">
        <v>24</v>
      </c>
      <c r="B20" s="30">
        <f>ROUND((A14*0.8),0)</f>
        <v>680</v>
      </c>
      <c r="C20" s="30">
        <f>ROUND((B20*0.7),0)</f>
        <v>476</v>
      </c>
      <c r="D20" s="15"/>
      <c r="F20" s="22">
        <f>B20+C20*($H$5-1)-$H$7</f>
        <v>584</v>
      </c>
      <c r="H20" s="36" t="str">
        <f>IF(F20&gt;0,"ATBILST","NEATBILST")</f>
        <v>ATBILST</v>
      </c>
      <c r="K20" s="45"/>
      <c r="L20" s="45"/>
      <c r="M20" s="45"/>
    </row>
    <row r="21" spans="1:13" ht="46.5" thickBot="1" x14ac:dyDescent="0.35">
      <c r="A21" s="12" t="s">
        <v>53</v>
      </c>
      <c r="B21" s="30">
        <v>411</v>
      </c>
      <c r="C21" s="30">
        <v>288</v>
      </c>
      <c r="D21" s="15"/>
      <c r="F21" s="22">
        <f>B21+C21*($H$5-1)-$H$7</f>
        <v>-437</v>
      </c>
      <c r="H21" s="36" t="str">
        <f t="shared" ref="H21" si="0">IF(F21&gt;0,"ATBILST","NEATBILST")</f>
        <v>NEATBILST</v>
      </c>
    </row>
    <row r="23" spans="1:13" x14ac:dyDescent="0.25">
      <c r="A23" t="s">
        <v>8</v>
      </c>
    </row>
    <row r="24" spans="1:13" x14ac:dyDescent="0.25">
      <c r="A24" t="s">
        <v>9</v>
      </c>
    </row>
    <row r="25" spans="1:13" x14ac:dyDescent="0.25">
      <c r="A25" t="s">
        <v>10</v>
      </c>
    </row>
    <row r="26" spans="1:13" x14ac:dyDescent="0.25">
      <c r="A26" t="s">
        <v>25</v>
      </c>
    </row>
    <row r="27" spans="1:13" x14ac:dyDescent="0.25">
      <c r="A27" t="s">
        <v>22</v>
      </c>
    </row>
    <row r="28" spans="1:13" x14ac:dyDescent="0.25">
      <c r="A28" t="s">
        <v>34</v>
      </c>
    </row>
    <row r="29" spans="1:13" x14ac:dyDescent="0.25">
      <c r="A29" s="4" t="s">
        <v>32</v>
      </c>
    </row>
    <row r="30" spans="1:13" x14ac:dyDescent="0.25">
      <c r="A30" t="s">
        <v>26</v>
      </c>
    </row>
    <row r="32" spans="1:13" ht="18.75" x14ac:dyDescent="0.3">
      <c r="A32" s="19" t="s">
        <v>36</v>
      </c>
    </row>
    <row r="33" spans="1:9" hidden="1" x14ac:dyDescent="0.25">
      <c r="A33" s="4" t="s">
        <v>11</v>
      </c>
    </row>
    <row r="34" spans="1:9" ht="21.75" hidden="1" customHeight="1" x14ac:dyDescent="0.25">
      <c r="A34" s="18" t="s">
        <v>12</v>
      </c>
      <c r="E34" s="88" t="s">
        <v>27</v>
      </c>
      <c r="F34" s="88"/>
    </row>
    <row r="35" spans="1:9" ht="15.75" customHeight="1" x14ac:dyDescent="0.25">
      <c r="B35" s="71" t="s">
        <v>5</v>
      </c>
      <c r="C35" s="71" t="s">
        <v>6</v>
      </c>
      <c r="E35" s="88"/>
      <c r="F35" s="88"/>
      <c r="H35" s="91" t="s">
        <v>19</v>
      </c>
      <c r="I35" s="91"/>
    </row>
    <row r="36" spans="1:9" x14ac:dyDescent="0.25">
      <c r="A36" t="s">
        <v>35</v>
      </c>
      <c r="B36" s="72">
        <v>32</v>
      </c>
      <c r="C36" s="72">
        <v>18</v>
      </c>
      <c r="E36" s="24" t="s">
        <v>28</v>
      </c>
      <c r="F36" s="24">
        <f>B36+C36*(H5-1)</f>
        <v>104</v>
      </c>
      <c r="H36" s="21">
        <f>F36-H10</f>
        <v>4</v>
      </c>
      <c r="I36" s="72">
        <f>SUMIF(H36,"&lt;0")</f>
        <v>0</v>
      </c>
    </row>
    <row r="37" spans="1:9" x14ac:dyDescent="0.25">
      <c r="A37" t="s">
        <v>30</v>
      </c>
      <c r="B37" s="20">
        <v>5</v>
      </c>
      <c r="C37" s="72" t="s">
        <v>13</v>
      </c>
      <c r="E37" s="24" t="s">
        <v>13</v>
      </c>
      <c r="F37" s="25">
        <f>F36*B37</f>
        <v>520</v>
      </c>
    </row>
    <row r="38" spans="1:9" x14ac:dyDescent="0.25">
      <c r="A38" t="s">
        <v>29</v>
      </c>
    </row>
  </sheetData>
  <mergeCells count="6">
    <mergeCell ref="J5:K7"/>
    <mergeCell ref="B13:D13"/>
    <mergeCell ref="F13:F14"/>
    <mergeCell ref="H13:H14"/>
    <mergeCell ref="E34:F35"/>
    <mergeCell ref="H35:I35"/>
  </mergeCells>
  <hyperlinks>
    <hyperlink ref="A33" r:id="rId1"/>
    <hyperlink ref="A29" r:id="rId2"/>
  </hyperlinks>
  <pageMargins left="0.70866141732283472" right="0.70866141732283472" top="0.74803149606299213" bottom="0.74803149606299213" header="0.31496062992125984" footer="0.31496062992125984"/>
  <pageSetup paperSize="9" scale="74" orientation="landscape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workbookViewId="0">
      <selection activeCell="L19" sqref="L19"/>
    </sheetView>
  </sheetViews>
  <sheetFormatPr defaultRowHeight="15" x14ac:dyDescent="0.25"/>
  <cols>
    <col min="1" max="1" width="25.42578125" customWidth="1"/>
    <col min="2" max="2" width="12.85546875" customWidth="1"/>
    <col min="3" max="3" width="12.5703125" customWidth="1"/>
    <col min="4" max="4" width="5.85546875" customWidth="1"/>
    <col min="5" max="5" width="8.5703125" customWidth="1"/>
    <col min="6" max="6" width="11.42578125" customWidth="1"/>
    <col min="7" max="7" width="2.28515625" style="8" customWidth="1"/>
    <col min="8" max="8" width="21.140625" customWidth="1"/>
    <col min="9" max="9" width="11.7109375" bestFit="1" customWidth="1"/>
    <col min="11" max="13" width="11.7109375" bestFit="1" customWidth="1"/>
  </cols>
  <sheetData>
    <row r="1" spans="1:12" ht="21" x14ac:dyDescent="0.35">
      <c r="A1" s="28" t="s">
        <v>55</v>
      </c>
    </row>
    <row r="2" spans="1:12" ht="21" x14ac:dyDescent="0.35">
      <c r="A2" s="85" t="s">
        <v>57</v>
      </c>
      <c r="B2" s="86"/>
      <c r="C2" s="86"/>
      <c r="D2" s="86"/>
    </row>
    <row r="3" spans="1:12" ht="23.25" x14ac:dyDescent="0.35">
      <c r="A3" s="5"/>
    </row>
    <row r="4" spans="1:12" ht="19.5" thickBot="1" x14ac:dyDescent="0.35">
      <c r="A4" s="43" t="s">
        <v>3</v>
      </c>
      <c r="G4"/>
      <c r="H4" s="37"/>
      <c r="L4" s="8"/>
    </row>
    <row r="5" spans="1:12" ht="19.5" thickBot="1" x14ac:dyDescent="0.35">
      <c r="A5" s="11" t="s">
        <v>2</v>
      </c>
      <c r="G5"/>
      <c r="H5" s="70">
        <v>5</v>
      </c>
      <c r="J5" s="87" t="s">
        <v>27</v>
      </c>
      <c r="K5" s="87"/>
      <c r="L5" s="8"/>
    </row>
    <row r="6" spans="1:12" ht="17.25" customHeight="1" thickTop="1" thickBot="1" x14ac:dyDescent="0.3">
      <c r="A6" s="11" t="s">
        <v>33</v>
      </c>
      <c r="G6"/>
      <c r="H6" s="42">
        <v>225</v>
      </c>
      <c r="J6" s="87"/>
      <c r="K6" s="87"/>
      <c r="L6" s="8"/>
    </row>
    <row r="7" spans="1:12" ht="20.25" thickTop="1" thickBot="1" x14ac:dyDescent="0.35">
      <c r="A7" s="11" t="s">
        <v>18</v>
      </c>
      <c r="G7"/>
      <c r="H7" s="69">
        <v>1500</v>
      </c>
      <c r="J7" s="87"/>
      <c r="K7" s="87"/>
      <c r="L7" s="8"/>
    </row>
    <row r="8" spans="1:12" ht="20.25" thickTop="1" thickBot="1" x14ac:dyDescent="0.35">
      <c r="A8" s="38" t="s">
        <v>31</v>
      </c>
      <c r="B8" s="39"/>
      <c r="C8" s="39"/>
      <c r="D8" s="39"/>
      <c r="E8" s="39"/>
      <c r="F8" s="39"/>
      <c r="G8" s="39"/>
      <c r="H8" s="69">
        <f>H10*5</f>
        <v>430</v>
      </c>
      <c r="J8" s="65" t="s">
        <v>15</v>
      </c>
      <c r="K8" s="66">
        <f>H8/H10*K10</f>
        <v>430</v>
      </c>
      <c r="L8" s="8"/>
    </row>
    <row r="9" spans="1:12" ht="17.25" thickTop="1" thickBot="1" x14ac:dyDescent="0.3">
      <c r="A9" s="38" t="s">
        <v>37</v>
      </c>
      <c r="B9" s="39"/>
      <c r="C9" s="39"/>
      <c r="D9" s="39"/>
      <c r="E9" s="39"/>
      <c r="F9" s="39"/>
      <c r="G9" s="39"/>
      <c r="H9" s="40"/>
      <c r="J9" s="65"/>
      <c r="K9" s="67">
        <f>H9</f>
        <v>0</v>
      </c>
      <c r="L9" s="8"/>
    </row>
    <row r="10" spans="1:12" ht="17.25" thickTop="1" thickBot="1" x14ac:dyDescent="0.3">
      <c r="A10" s="38" t="s">
        <v>16</v>
      </c>
      <c r="B10" s="39"/>
      <c r="C10" s="39"/>
      <c r="D10" s="39"/>
      <c r="E10" s="39"/>
      <c r="F10" s="39"/>
      <c r="G10" s="39"/>
      <c r="H10" s="41">
        <v>86</v>
      </c>
      <c r="J10" s="65" t="s">
        <v>15</v>
      </c>
      <c r="K10" s="68">
        <f>H10+I36</f>
        <v>86</v>
      </c>
      <c r="L10" s="8"/>
    </row>
    <row r="11" spans="1:12" ht="20.25" thickTop="1" thickBot="1" x14ac:dyDescent="0.35">
      <c r="A11" s="38" t="s">
        <v>14</v>
      </c>
      <c r="B11" s="39"/>
      <c r="C11" s="39"/>
      <c r="D11" s="39"/>
      <c r="E11" s="39"/>
      <c r="F11" s="39"/>
      <c r="G11" s="39"/>
      <c r="H11" s="69">
        <v>160</v>
      </c>
      <c r="J11" s="65" t="s">
        <v>15</v>
      </c>
      <c r="K11" s="66">
        <f>H11/H10*K10</f>
        <v>160</v>
      </c>
      <c r="L11" s="8"/>
    </row>
    <row r="12" spans="1:12" ht="16.5" thickTop="1" thickBot="1" x14ac:dyDescent="0.3"/>
    <row r="13" spans="1:12" ht="19.5" customHeight="1" x14ac:dyDescent="0.25">
      <c r="A13" s="63" t="str">
        <f>'Aprēķinam 0101_30042026'!$A$13</f>
        <v>ienākumu mediāna 2026.gadam</v>
      </c>
      <c r="B13" s="88" t="s">
        <v>4</v>
      </c>
      <c r="C13" s="88"/>
      <c r="D13" s="88"/>
      <c r="F13" s="88" t="s">
        <v>19</v>
      </c>
      <c r="H13" s="89" t="s">
        <v>52</v>
      </c>
    </row>
    <row r="14" spans="1:12" s="2" customFormat="1" ht="15.75" thickBot="1" x14ac:dyDescent="0.3">
      <c r="A14" s="63">
        <f>'Aprēķinam 0101_30042026'!$A$14</f>
        <v>850.02</v>
      </c>
      <c r="B14" s="48" t="s">
        <v>5</v>
      </c>
      <c r="C14" s="48" t="s">
        <v>6</v>
      </c>
      <c r="D14" s="48" t="s">
        <v>1</v>
      </c>
      <c r="F14" s="88"/>
      <c r="G14" s="9"/>
      <c r="H14" s="90"/>
    </row>
    <row r="15" spans="1:12" s="1" customFormat="1" ht="11.25" customHeight="1" thickBot="1" x14ac:dyDescent="0.3">
      <c r="G15" s="10"/>
      <c r="H15" s="34"/>
    </row>
    <row r="16" spans="1:12" s="1" customFormat="1" ht="31.5" thickBot="1" x14ac:dyDescent="0.35">
      <c r="A16" s="12" t="s">
        <v>17</v>
      </c>
      <c r="B16" s="30">
        <f>ROUND((0.22*A14),0)</f>
        <v>187</v>
      </c>
      <c r="C16" s="30">
        <f>ROUND((B16*0.7),0)</f>
        <v>131</v>
      </c>
      <c r="D16" s="13"/>
      <c r="F16" s="7">
        <f>B16+C16*(H5-1)-H7</f>
        <v>-789</v>
      </c>
      <c r="G16" s="10">
        <v>0</v>
      </c>
      <c r="H16" s="35">
        <f>SUMIF(F16:G16,"&gt;0")</f>
        <v>0</v>
      </c>
    </row>
    <row r="17" spans="1:13" ht="19.5" thickBot="1" x14ac:dyDescent="0.35">
      <c r="A17" s="14" t="s">
        <v>23</v>
      </c>
      <c r="B17" s="30">
        <f>ROUND((0.22*A14),0)</f>
        <v>187</v>
      </c>
      <c r="C17" s="30">
        <f>ROUND((B17*0.7),0)</f>
        <v>131</v>
      </c>
      <c r="D17" s="83">
        <v>1.3</v>
      </c>
      <c r="F17" s="7">
        <f>(B17+C17*(H5-1))*D17+K8+K9+K11-H7</f>
        <v>14.300000000000182</v>
      </c>
      <c r="G17" s="10"/>
      <c r="H17" s="35">
        <f>SUMIF(F17:G17,"&gt;0")</f>
        <v>14.300000000000182</v>
      </c>
      <c r="I17" s="45"/>
    </row>
    <row r="18" spans="1:13" ht="16.5" thickBot="1" x14ac:dyDescent="0.3">
      <c r="B18" s="31"/>
      <c r="C18" s="31"/>
      <c r="D18" s="3"/>
      <c r="H18" s="44" t="s">
        <v>21</v>
      </c>
    </row>
    <row r="19" spans="1:13" ht="30.75" thickBot="1" x14ac:dyDescent="0.35">
      <c r="A19" s="29" t="s">
        <v>0</v>
      </c>
      <c r="B19" s="30">
        <f>ROUND((A14*0.5),0)</f>
        <v>425</v>
      </c>
      <c r="C19" s="30">
        <f>ROUND((B19*0.7),0)</f>
        <v>298</v>
      </c>
      <c r="D19" s="15"/>
      <c r="F19" s="22">
        <f>B19+C19*($H$5-1)-$H$7</f>
        <v>117</v>
      </c>
      <c r="H19" s="36" t="str">
        <f>IF(F19&gt;0,"ATBILST","NEATBILST")</f>
        <v>ATBILST</v>
      </c>
    </row>
    <row r="20" spans="1:13" ht="31.5" thickBot="1" x14ac:dyDescent="0.35">
      <c r="A20" s="12" t="s">
        <v>24</v>
      </c>
      <c r="B20" s="30">
        <f>ROUND((A14*0.8),0)</f>
        <v>680</v>
      </c>
      <c r="C20" s="30">
        <f>ROUND((B20*0.7),0)</f>
        <v>476</v>
      </c>
      <c r="D20" s="15"/>
      <c r="F20" s="22">
        <f>B20+C20*($H$5-1)-$H$7</f>
        <v>1084</v>
      </c>
      <c r="H20" s="36" t="str">
        <f>IF(F20&gt;0,"ATBILST","NEATBILST")</f>
        <v>ATBILST</v>
      </c>
      <c r="K20" s="45"/>
      <c r="L20" s="45"/>
      <c r="M20" s="45"/>
    </row>
    <row r="21" spans="1:13" ht="46.5" thickBot="1" x14ac:dyDescent="0.35">
      <c r="A21" s="12" t="s">
        <v>53</v>
      </c>
      <c r="B21" s="30">
        <v>411</v>
      </c>
      <c r="C21" s="30">
        <v>288</v>
      </c>
      <c r="D21" s="15"/>
      <c r="F21" s="22">
        <f>B21+C21*($H$5-1)-$H$7</f>
        <v>63</v>
      </c>
      <c r="H21" s="36" t="str">
        <f t="shared" ref="H21" si="0">IF(F21&gt;0,"ATBILST","NEATBILST")</f>
        <v>ATBILST</v>
      </c>
    </row>
    <row r="23" spans="1:13" x14ac:dyDescent="0.25">
      <c r="A23" t="s">
        <v>8</v>
      </c>
    </row>
    <row r="24" spans="1:13" x14ac:dyDescent="0.25">
      <c r="A24" t="s">
        <v>9</v>
      </c>
    </row>
    <row r="25" spans="1:13" x14ac:dyDescent="0.25">
      <c r="A25" t="s">
        <v>10</v>
      </c>
    </row>
    <row r="26" spans="1:13" x14ac:dyDescent="0.25">
      <c r="A26" t="s">
        <v>25</v>
      </c>
    </row>
    <row r="27" spans="1:13" x14ac:dyDescent="0.25">
      <c r="A27" t="s">
        <v>22</v>
      </c>
    </row>
    <row r="28" spans="1:13" x14ac:dyDescent="0.25">
      <c r="A28" t="s">
        <v>34</v>
      </c>
    </row>
    <row r="29" spans="1:13" x14ac:dyDescent="0.25">
      <c r="A29" s="4" t="s">
        <v>32</v>
      </c>
    </row>
    <row r="30" spans="1:13" x14ac:dyDescent="0.25">
      <c r="A30" t="s">
        <v>26</v>
      </c>
    </row>
    <row r="32" spans="1:13" ht="18.75" x14ac:dyDescent="0.3">
      <c r="A32" s="19" t="s">
        <v>36</v>
      </c>
    </row>
    <row r="33" spans="1:9" hidden="1" x14ac:dyDescent="0.25">
      <c r="A33" s="4" t="s">
        <v>11</v>
      </c>
    </row>
    <row r="34" spans="1:9" ht="21.75" hidden="1" customHeight="1" x14ac:dyDescent="0.25">
      <c r="A34" s="18" t="s">
        <v>12</v>
      </c>
      <c r="E34" s="88" t="s">
        <v>27</v>
      </c>
      <c r="F34" s="88"/>
    </row>
    <row r="35" spans="1:9" ht="15.75" customHeight="1" x14ac:dyDescent="0.25">
      <c r="B35" s="48" t="s">
        <v>5</v>
      </c>
      <c r="C35" s="48" t="s">
        <v>6</v>
      </c>
      <c r="E35" s="88"/>
      <c r="F35" s="88"/>
      <c r="H35" s="91" t="s">
        <v>19</v>
      </c>
      <c r="I35" s="91"/>
    </row>
    <row r="36" spans="1:9" x14ac:dyDescent="0.25">
      <c r="A36" t="s">
        <v>35</v>
      </c>
      <c r="B36" s="49">
        <v>32</v>
      </c>
      <c r="C36" s="49">
        <v>18</v>
      </c>
      <c r="E36" s="24" t="s">
        <v>28</v>
      </c>
      <c r="F36" s="24">
        <f>B36+C36*(H5-1)</f>
        <v>104</v>
      </c>
      <c r="H36" s="21">
        <f>F36-H10</f>
        <v>18</v>
      </c>
      <c r="I36" s="49">
        <f>SUMIF(H36,"&lt;0")</f>
        <v>0</v>
      </c>
    </row>
    <row r="37" spans="1:9" x14ac:dyDescent="0.25">
      <c r="A37" t="s">
        <v>30</v>
      </c>
      <c r="B37" s="20">
        <v>5</v>
      </c>
      <c r="C37" s="49" t="s">
        <v>13</v>
      </c>
      <c r="E37" s="24" t="s">
        <v>13</v>
      </c>
      <c r="F37" s="25">
        <f>F36*B37</f>
        <v>520</v>
      </c>
    </row>
    <row r="38" spans="1:9" x14ac:dyDescent="0.25">
      <c r="A38" t="s">
        <v>29</v>
      </c>
    </row>
  </sheetData>
  <mergeCells count="6">
    <mergeCell ref="J5:K7"/>
    <mergeCell ref="B13:D13"/>
    <mergeCell ref="F13:F14"/>
    <mergeCell ref="H13:H14"/>
    <mergeCell ref="E34:F35"/>
    <mergeCell ref="H35:I35"/>
  </mergeCells>
  <hyperlinks>
    <hyperlink ref="A33" r:id="rId1"/>
    <hyperlink ref="A29" r:id="rId2"/>
  </hyperlinks>
  <pageMargins left="0.70866141732283472" right="0.70866141732283472" top="0.74803149606299213" bottom="0.74803149606299213" header="0.31496062992125984" footer="0.31496062992125984"/>
  <pageSetup paperSize="9" scale="74" orientation="landscape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workbookViewId="0">
      <selection activeCell="K16" sqref="K16"/>
    </sheetView>
  </sheetViews>
  <sheetFormatPr defaultRowHeight="15" x14ac:dyDescent="0.25"/>
  <cols>
    <col min="1" max="1" width="25.42578125" customWidth="1"/>
    <col min="2" max="2" width="12.85546875" customWidth="1"/>
    <col min="3" max="3" width="12.5703125" customWidth="1"/>
    <col min="4" max="4" width="5.85546875" customWidth="1"/>
    <col min="5" max="5" width="8.5703125" customWidth="1"/>
    <col min="6" max="6" width="11.42578125" customWidth="1"/>
    <col min="7" max="7" width="2.28515625" style="8" customWidth="1"/>
    <col min="8" max="8" width="21.140625" customWidth="1"/>
    <col min="9" max="9" width="11.7109375" bestFit="1" customWidth="1"/>
    <col min="11" max="13" width="11.7109375" bestFit="1" customWidth="1"/>
  </cols>
  <sheetData>
    <row r="1" spans="1:12" ht="21" x14ac:dyDescent="0.35">
      <c r="A1" s="28" t="s">
        <v>55</v>
      </c>
    </row>
    <row r="2" spans="1:12" ht="21" x14ac:dyDescent="0.35">
      <c r="A2" s="85" t="s">
        <v>58</v>
      </c>
      <c r="B2" s="86"/>
    </row>
    <row r="3" spans="1:12" ht="23.25" x14ac:dyDescent="0.35">
      <c r="A3" s="5"/>
    </row>
    <row r="4" spans="1:12" ht="19.5" thickBot="1" x14ac:dyDescent="0.35">
      <c r="A4" s="43" t="s">
        <v>3</v>
      </c>
      <c r="G4"/>
      <c r="H4" s="37"/>
      <c r="L4" s="8"/>
    </row>
    <row r="5" spans="1:12" ht="19.5" thickBot="1" x14ac:dyDescent="0.35">
      <c r="A5" s="11" t="s">
        <v>2</v>
      </c>
      <c r="G5"/>
      <c r="H5" s="70">
        <v>5</v>
      </c>
      <c r="J5" s="87" t="s">
        <v>27</v>
      </c>
      <c r="K5" s="87"/>
      <c r="L5" s="8"/>
    </row>
    <row r="6" spans="1:12" ht="17.25" customHeight="1" thickTop="1" thickBot="1" x14ac:dyDescent="0.3">
      <c r="A6" s="11" t="s">
        <v>33</v>
      </c>
      <c r="G6"/>
      <c r="H6" s="42">
        <v>225</v>
      </c>
      <c r="J6" s="87"/>
      <c r="K6" s="87"/>
      <c r="L6" s="8"/>
    </row>
    <row r="7" spans="1:12" ht="20.25" thickTop="1" thickBot="1" x14ac:dyDescent="0.35">
      <c r="A7" s="11" t="s">
        <v>18</v>
      </c>
      <c r="G7"/>
      <c r="H7" s="69">
        <v>1500</v>
      </c>
      <c r="J7" s="87"/>
      <c r="K7" s="87"/>
      <c r="L7" s="8"/>
    </row>
    <row r="8" spans="1:12" ht="20.25" thickTop="1" thickBot="1" x14ac:dyDescent="0.35">
      <c r="A8" s="38" t="s">
        <v>31</v>
      </c>
      <c r="B8" s="39"/>
      <c r="C8" s="39"/>
      <c r="D8" s="39"/>
      <c r="E8" s="39"/>
      <c r="F8" s="39"/>
      <c r="G8" s="39"/>
      <c r="H8" s="69">
        <f>H10*5</f>
        <v>430</v>
      </c>
      <c r="J8" s="65" t="s">
        <v>15</v>
      </c>
      <c r="K8" s="66">
        <f>H8/H10*K10</f>
        <v>430</v>
      </c>
      <c r="L8" s="8"/>
    </row>
    <row r="9" spans="1:12" ht="17.25" thickTop="1" thickBot="1" x14ac:dyDescent="0.3">
      <c r="A9" s="38" t="s">
        <v>37</v>
      </c>
      <c r="B9" s="39"/>
      <c r="C9" s="39"/>
      <c r="D9" s="39"/>
      <c r="E9" s="39"/>
      <c r="F9" s="39"/>
      <c r="G9" s="39"/>
      <c r="H9" s="40"/>
      <c r="J9" s="65"/>
      <c r="K9" s="67">
        <f>H9</f>
        <v>0</v>
      </c>
      <c r="L9" s="8"/>
    </row>
    <row r="10" spans="1:12" ht="17.25" thickTop="1" thickBot="1" x14ac:dyDescent="0.3">
      <c r="A10" s="38" t="s">
        <v>16</v>
      </c>
      <c r="B10" s="39"/>
      <c r="C10" s="39"/>
      <c r="D10" s="39"/>
      <c r="E10" s="39"/>
      <c r="F10" s="39"/>
      <c r="G10" s="39"/>
      <c r="H10" s="41">
        <v>86</v>
      </c>
      <c r="J10" s="65" t="s">
        <v>15</v>
      </c>
      <c r="K10" s="68">
        <f>H10+I36</f>
        <v>86</v>
      </c>
      <c r="L10" s="8"/>
    </row>
    <row r="11" spans="1:12" ht="20.25" thickTop="1" thickBot="1" x14ac:dyDescent="0.35">
      <c r="A11" s="38" t="s">
        <v>14</v>
      </c>
      <c r="B11" s="39"/>
      <c r="C11" s="39"/>
      <c r="D11" s="39"/>
      <c r="E11" s="39"/>
      <c r="F11" s="39"/>
      <c r="G11" s="39"/>
      <c r="H11" s="69">
        <v>160</v>
      </c>
      <c r="J11" s="65" t="s">
        <v>15</v>
      </c>
      <c r="K11" s="66">
        <f>H11/H10*K10</f>
        <v>160</v>
      </c>
      <c r="L11" s="8"/>
    </row>
    <row r="12" spans="1:12" ht="16.5" thickTop="1" thickBot="1" x14ac:dyDescent="0.3"/>
    <row r="13" spans="1:12" ht="19.5" customHeight="1" x14ac:dyDescent="0.25">
      <c r="A13" s="63" t="str">
        <f>'Aprēķinam 0101_30042026'!$A$13</f>
        <v>ienākumu mediāna 2026.gadam</v>
      </c>
      <c r="B13" s="88" t="s">
        <v>4</v>
      </c>
      <c r="C13" s="88"/>
      <c r="D13" s="88"/>
      <c r="F13" s="88" t="s">
        <v>19</v>
      </c>
      <c r="H13" s="89" t="s">
        <v>52</v>
      </c>
    </row>
    <row r="14" spans="1:12" s="2" customFormat="1" ht="15.75" thickBot="1" x14ac:dyDescent="0.3">
      <c r="A14" s="63">
        <f>'Aprēķinam 0101_30042026'!$A$14</f>
        <v>850.02</v>
      </c>
      <c r="B14" s="73" t="s">
        <v>5</v>
      </c>
      <c r="C14" s="73" t="s">
        <v>6</v>
      </c>
      <c r="D14" s="73" t="s">
        <v>1</v>
      </c>
      <c r="F14" s="88"/>
      <c r="G14" s="9"/>
      <c r="H14" s="90"/>
    </row>
    <row r="15" spans="1:12" s="1" customFormat="1" ht="11.25" customHeight="1" thickBot="1" x14ac:dyDescent="0.3">
      <c r="G15" s="10"/>
      <c r="H15" s="34"/>
    </row>
    <row r="16" spans="1:12" s="1" customFormat="1" ht="31.5" thickBot="1" x14ac:dyDescent="0.35">
      <c r="A16" s="12" t="s">
        <v>17</v>
      </c>
      <c r="B16" s="30">
        <f>ROUND((0.22*A14),0)</f>
        <v>187</v>
      </c>
      <c r="C16" s="30">
        <f>ROUND((B16*0.7),0)</f>
        <v>131</v>
      </c>
      <c r="D16" s="13"/>
      <c r="F16" s="7">
        <f>B16+C16*(H5-1)-H7</f>
        <v>-789</v>
      </c>
      <c r="G16" s="10">
        <v>0</v>
      </c>
      <c r="H16" s="35">
        <f>SUMIF(F16:G16,"&gt;0")</f>
        <v>0</v>
      </c>
    </row>
    <row r="17" spans="1:13" ht="19.5" thickBot="1" x14ac:dyDescent="0.35">
      <c r="A17" s="14" t="s">
        <v>23</v>
      </c>
      <c r="B17" s="30">
        <f>ROUND((0.22*A14),0)</f>
        <v>187</v>
      </c>
      <c r="C17" s="30">
        <f>ROUND((B17*0.7),0)</f>
        <v>131</v>
      </c>
      <c r="D17" s="83">
        <v>1.7</v>
      </c>
      <c r="F17" s="7">
        <f>(B17+C17*(H5-1))*D17+K8+K9+K11-H7</f>
        <v>298.70000000000005</v>
      </c>
      <c r="G17" s="10"/>
      <c r="H17" s="35">
        <f>SUMIF(F17:G17,"&gt;0")</f>
        <v>298.70000000000005</v>
      </c>
      <c r="I17" s="45"/>
    </row>
    <row r="18" spans="1:13" ht="16.5" thickBot="1" x14ac:dyDescent="0.3">
      <c r="B18" s="31"/>
      <c r="C18" s="31"/>
      <c r="D18" s="3"/>
      <c r="H18" s="44" t="s">
        <v>21</v>
      </c>
    </row>
    <row r="19" spans="1:13" ht="30.75" thickBot="1" x14ac:dyDescent="0.35">
      <c r="A19" s="29" t="s">
        <v>0</v>
      </c>
      <c r="B19" s="30">
        <f>ROUND((A14*0.5),0)</f>
        <v>425</v>
      </c>
      <c r="C19" s="30">
        <f>ROUND((B19*0.7),0)</f>
        <v>298</v>
      </c>
      <c r="D19" s="15"/>
      <c r="F19" s="22">
        <f>B19+C19*($H$5-1)-$H$7</f>
        <v>117</v>
      </c>
      <c r="H19" s="36" t="str">
        <f>IF(F19&gt;0,"ATBILST","NEATBILST")</f>
        <v>ATBILST</v>
      </c>
    </row>
    <row r="20" spans="1:13" ht="31.5" thickBot="1" x14ac:dyDescent="0.35">
      <c r="A20" s="12" t="s">
        <v>24</v>
      </c>
      <c r="B20" s="30">
        <f>ROUND((A14*0.8),0)</f>
        <v>680</v>
      </c>
      <c r="C20" s="30">
        <f>ROUND((B20*0.7),0)</f>
        <v>476</v>
      </c>
      <c r="D20" s="15"/>
      <c r="F20" s="22">
        <f>B20+C20*($H$5-1)-$H$7</f>
        <v>1084</v>
      </c>
      <c r="H20" s="36" t="str">
        <f>IF(F20&gt;0,"ATBILST","NEATBILST")</f>
        <v>ATBILST</v>
      </c>
      <c r="K20" s="45"/>
      <c r="L20" s="45"/>
      <c r="M20" s="45"/>
    </row>
    <row r="21" spans="1:13" ht="46.5" thickBot="1" x14ac:dyDescent="0.35">
      <c r="A21" s="12" t="s">
        <v>53</v>
      </c>
      <c r="B21" s="30">
        <v>411</v>
      </c>
      <c r="C21" s="30">
        <v>288</v>
      </c>
      <c r="D21" s="15"/>
      <c r="F21" s="22">
        <f>B21+C21*($H$5-1)-$H$7</f>
        <v>63</v>
      </c>
      <c r="H21" s="36" t="str">
        <f t="shared" ref="H21" si="0">IF(F21&gt;0,"ATBILST","NEATBILST")</f>
        <v>ATBILST</v>
      </c>
    </row>
    <row r="23" spans="1:13" x14ac:dyDescent="0.25">
      <c r="A23" t="s">
        <v>8</v>
      </c>
    </row>
    <row r="24" spans="1:13" x14ac:dyDescent="0.25">
      <c r="A24" t="s">
        <v>9</v>
      </c>
    </row>
    <row r="25" spans="1:13" x14ac:dyDescent="0.25">
      <c r="A25" t="s">
        <v>10</v>
      </c>
    </row>
    <row r="26" spans="1:13" x14ac:dyDescent="0.25">
      <c r="A26" t="s">
        <v>25</v>
      </c>
    </row>
    <row r="27" spans="1:13" x14ac:dyDescent="0.25">
      <c r="A27" t="s">
        <v>22</v>
      </c>
    </row>
    <row r="28" spans="1:13" x14ac:dyDescent="0.25">
      <c r="A28" t="s">
        <v>34</v>
      </c>
    </row>
    <row r="29" spans="1:13" x14ac:dyDescent="0.25">
      <c r="A29" s="4" t="s">
        <v>32</v>
      </c>
    </row>
    <row r="30" spans="1:13" x14ac:dyDescent="0.25">
      <c r="A30" t="s">
        <v>26</v>
      </c>
    </row>
    <row r="32" spans="1:13" ht="18.75" x14ac:dyDescent="0.3">
      <c r="A32" s="19" t="s">
        <v>36</v>
      </c>
    </row>
    <row r="33" spans="1:9" hidden="1" x14ac:dyDescent="0.25">
      <c r="A33" s="4" t="s">
        <v>11</v>
      </c>
    </row>
    <row r="34" spans="1:9" ht="21.75" hidden="1" customHeight="1" x14ac:dyDescent="0.25">
      <c r="A34" s="18" t="s">
        <v>12</v>
      </c>
      <c r="E34" s="88" t="s">
        <v>27</v>
      </c>
      <c r="F34" s="88"/>
    </row>
    <row r="35" spans="1:9" ht="15.75" customHeight="1" x14ac:dyDescent="0.25">
      <c r="B35" s="73" t="s">
        <v>5</v>
      </c>
      <c r="C35" s="73" t="s">
        <v>6</v>
      </c>
      <c r="E35" s="88"/>
      <c r="F35" s="88"/>
      <c r="H35" s="91" t="s">
        <v>19</v>
      </c>
      <c r="I35" s="91"/>
    </row>
    <row r="36" spans="1:9" x14ac:dyDescent="0.25">
      <c r="A36" t="s">
        <v>35</v>
      </c>
      <c r="B36" s="74">
        <v>32</v>
      </c>
      <c r="C36" s="74">
        <v>18</v>
      </c>
      <c r="E36" s="24" t="s">
        <v>28</v>
      </c>
      <c r="F36" s="24">
        <f>B36+C36*(H5-1)</f>
        <v>104</v>
      </c>
      <c r="H36" s="21">
        <f>F36-H10</f>
        <v>18</v>
      </c>
      <c r="I36" s="74">
        <f>SUMIF(H36,"&lt;0")</f>
        <v>0</v>
      </c>
    </row>
    <row r="37" spans="1:9" x14ac:dyDescent="0.25">
      <c r="A37" t="s">
        <v>30</v>
      </c>
      <c r="B37" s="20">
        <v>5</v>
      </c>
      <c r="C37" s="74" t="s">
        <v>13</v>
      </c>
      <c r="E37" s="24" t="s">
        <v>13</v>
      </c>
      <c r="F37" s="25">
        <f>F36*B37</f>
        <v>520</v>
      </c>
    </row>
    <row r="38" spans="1:9" x14ac:dyDescent="0.25">
      <c r="A38" t="s">
        <v>29</v>
      </c>
    </row>
  </sheetData>
  <mergeCells count="6">
    <mergeCell ref="J5:K7"/>
    <mergeCell ref="B13:D13"/>
    <mergeCell ref="F13:F14"/>
    <mergeCell ref="H13:H14"/>
    <mergeCell ref="E34:F35"/>
    <mergeCell ref="H35:I35"/>
  </mergeCells>
  <hyperlinks>
    <hyperlink ref="A33" r:id="rId1"/>
    <hyperlink ref="A29" r:id="rId2"/>
  </hyperlinks>
  <pageMargins left="0.70866141732283472" right="0.70866141732283472" top="0.74803149606299213" bottom="0.74803149606299213" header="0.31496062992125984" footer="0.31496062992125984"/>
  <pageSetup paperSize="9" scale="74" orientation="landscape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showGridLines="0" workbookViewId="0">
      <selection activeCell="Y13" sqref="Y13"/>
    </sheetView>
  </sheetViews>
  <sheetFormatPr defaultRowHeight="15" x14ac:dyDescent="0.25"/>
  <cols>
    <col min="1" max="1" width="27.140625" customWidth="1"/>
    <col min="2" max="2" width="12.85546875" customWidth="1"/>
    <col min="3" max="3" width="12.5703125" customWidth="1"/>
    <col min="4" max="4" width="5.85546875" hidden="1" customWidth="1"/>
    <col min="5" max="5" width="8.5703125" hidden="1" customWidth="1"/>
    <col min="6" max="6" width="11.42578125" hidden="1" customWidth="1"/>
    <col min="7" max="7" width="2.28515625" style="8" hidden="1" customWidth="1"/>
    <col min="8" max="8" width="8.85546875" hidden="1" customWidth="1"/>
    <col min="9" max="9" width="12.5703125" hidden="1" customWidth="1"/>
    <col min="10" max="10" width="6.85546875" hidden="1" customWidth="1"/>
    <col min="11" max="11" width="9.140625" hidden="1" customWidth="1"/>
    <col min="12" max="12" width="2.7109375" customWidth="1"/>
    <col min="13" max="13" width="17.140625" customWidth="1"/>
    <col min="14" max="14" width="18.28515625" customWidth="1"/>
    <col min="15" max="15" width="18.140625" customWidth="1"/>
    <col min="16" max="16" width="16.7109375" customWidth="1"/>
    <col min="18" max="18" width="11.85546875" hidden="1" customWidth="1"/>
    <col min="19" max="19" width="11.7109375" hidden="1" customWidth="1"/>
    <col min="20" max="21" width="11.5703125" hidden="1" customWidth="1"/>
    <col min="22" max="22" width="0" hidden="1" customWidth="1"/>
  </cols>
  <sheetData>
    <row r="1" spans="1:21" ht="45" customHeight="1" thickBot="1" x14ac:dyDescent="0.4">
      <c r="A1" s="96" t="s">
        <v>51</v>
      </c>
      <c r="B1" s="96"/>
      <c r="C1" s="96"/>
      <c r="M1" s="3" t="s">
        <v>40</v>
      </c>
      <c r="N1" s="3" t="s">
        <v>41</v>
      </c>
      <c r="O1" s="3" t="s">
        <v>42</v>
      </c>
      <c r="P1" s="3"/>
    </row>
    <row r="2" spans="1:21" ht="25.5" customHeight="1" x14ac:dyDescent="0.25">
      <c r="A2" s="97" t="s">
        <v>50</v>
      </c>
      <c r="B2" s="97"/>
      <c r="M2" s="101" t="s">
        <v>44</v>
      </c>
      <c r="N2" s="99" t="s">
        <v>43</v>
      </c>
      <c r="O2" s="94" t="s">
        <v>45</v>
      </c>
      <c r="P2" s="99" t="s">
        <v>48</v>
      </c>
      <c r="R2" s="98" t="s">
        <v>19</v>
      </c>
      <c r="S2" s="98"/>
      <c r="T2" s="98"/>
    </row>
    <row r="3" spans="1:21" ht="31.5" customHeight="1" thickBot="1" x14ac:dyDescent="0.35">
      <c r="A3" s="97"/>
      <c r="B3" s="97"/>
      <c r="G3"/>
      <c r="H3" s="37" t="s">
        <v>39</v>
      </c>
      <c r="L3" s="8"/>
      <c r="M3" s="102"/>
      <c r="N3" s="100"/>
      <c r="O3" s="95"/>
      <c r="P3" s="100"/>
      <c r="R3" s="46" t="s">
        <v>40</v>
      </c>
      <c r="S3" s="47" t="s">
        <v>41</v>
      </c>
      <c r="T3" s="47" t="s">
        <v>42</v>
      </c>
      <c r="U3" s="47" t="s">
        <v>47</v>
      </c>
    </row>
    <row r="4" spans="1:21" ht="21.75" thickBot="1" x14ac:dyDescent="0.4">
      <c r="A4" s="64" t="s">
        <v>2</v>
      </c>
      <c r="G4"/>
      <c r="H4" s="32">
        <v>3</v>
      </c>
      <c r="J4" s="88" t="s">
        <v>27</v>
      </c>
      <c r="K4" s="88"/>
      <c r="L4" s="8"/>
      <c r="M4" s="56">
        <v>3</v>
      </c>
      <c r="N4" s="56">
        <v>5</v>
      </c>
      <c r="O4" s="56">
        <v>5</v>
      </c>
      <c r="P4" s="56">
        <v>3</v>
      </c>
    </row>
    <row r="5" spans="1:21" ht="20.25" customHeight="1" thickTop="1" thickBot="1" x14ac:dyDescent="0.4">
      <c r="A5" s="64" t="s">
        <v>38</v>
      </c>
      <c r="G5"/>
      <c r="H5" s="51">
        <v>1</v>
      </c>
      <c r="J5" s="88"/>
      <c r="K5" s="88"/>
      <c r="L5" s="8"/>
      <c r="M5" s="51">
        <v>1</v>
      </c>
      <c r="N5" s="51">
        <v>3</v>
      </c>
      <c r="O5" s="51">
        <v>3</v>
      </c>
      <c r="P5" s="51">
        <v>2</v>
      </c>
    </row>
    <row r="6" spans="1:21" ht="22.5" thickTop="1" thickBot="1" x14ac:dyDescent="0.4">
      <c r="A6" s="64" t="s">
        <v>18</v>
      </c>
      <c r="G6"/>
      <c r="H6" s="33">
        <v>1212.3</v>
      </c>
      <c r="J6" s="88"/>
      <c r="K6" s="88"/>
      <c r="L6" s="8"/>
      <c r="M6" s="57">
        <v>1212.3</v>
      </c>
      <c r="N6" s="57">
        <f>932.08*2+N5*50</f>
        <v>2014.16</v>
      </c>
      <c r="O6" s="57">
        <f>932.08+699+O5*50</f>
        <v>1781.08</v>
      </c>
      <c r="P6" s="57">
        <f>1120.72*(P4-P5)+P5*50</f>
        <v>1220.72</v>
      </c>
    </row>
    <row r="7" spans="1:21" ht="17.25" hidden="1" customHeight="1" thickTop="1" thickBot="1" x14ac:dyDescent="0.3">
      <c r="A7" s="38" t="s">
        <v>31</v>
      </c>
      <c r="B7" s="39"/>
      <c r="C7" s="39"/>
      <c r="D7" s="39"/>
      <c r="E7" s="39"/>
      <c r="F7" s="39"/>
      <c r="G7" s="39"/>
      <c r="H7" s="40">
        <f>H9*0</f>
        <v>0</v>
      </c>
      <c r="J7" s="6" t="s">
        <v>15</v>
      </c>
      <c r="K7" s="16">
        <f>H7/H9*K9</f>
        <v>0</v>
      </c>
      <c r="L7" s="8"/>
      <c r="M7" s="40">
        <f>M9*0</f>
        <v>0</v>
      </c>
      <c r="N7" s="40">
        <f>N9*0</f>
        <v>0</v>
      </c>
      <c r="O7" s="40">
        <f>O9*0</f>
        <v>0</v>
      </c>
      <c r="P7" s="40">
        <f>P9*0</f>
        <v>0</v>
      </c>
    </row>
    <row r="8" spans="1:21" ht="17.25" hidden="1" customHeight="1" thickTop="1" thickBot="1" x14ac:dyDescent="0.3">
      <c r="A8" s="38" t="s">
        <v>37</v>
      </c>
      <c r="B8" s="39"/>
      <c r="C8" s="39"/>
      <c r="D8" s="39"/>
      <c r="E8" s="39"/>
      <c r="F8" s="39"/>
      <c r="G8" s="39"/>
      <c r="H8" s="40">
        <f>H9*5</f>
        <v>450</v>
      </c>
      <c r="J8" s="6"/>
      <c r="K8" s="23">
        <f>H8</f>
        <v>450</v>
      </c>
      <c r="L8" s="8"/>
      <c r="M8" s="40">
        <f>M9*5</f>
        <v>450</v>
      </c>
      <c r="N8" s="40">
        <f>N9*5</f>
        <v>450</v>
      </c>
      <c r="O8" s="40">
        <f>O9*5</f>
        <v>450</v>
      </c>
      <c r="P8" s="40">
        <f>P9*5</f>
        <v>450</v>
      </c>
    </row>
    <row r="9" spans="1:21" ht="17.25" hidden="1" customHeight="1" thickTop="1" thickBot="1" x14ac:dyDescent="0.3">
      <c r="A9" s="38" t="s">
        <v>16</v>
      </c>
      <c r="B9" s="39"/>
      <c r="C9" s="39"/>
      <c r="D9" s="39"/>
      <c r="E9" s="39"/>
      <c r="F9" s="39"/>
      <c r="G9" s="39"/>
      <c r="H9" s="41">
        <v>90</v>
      </c>
      <c r="J9" s="6" t="s">
        <v>15</v>
      </c>
      <c r="K9" s="17">
        <f>H9+I35</f>
        <v>68</v>
      </c>
      <c r="L9" s="8"/>
      <c r="M9" s="41">
        <v>90</v>
      </c>
      <c r="N9" s="41">
        <v>90</v>
      </c>
      <c r="O9" s="41">
        <v>90</v>
      </c>
      <c r="P9" s="41">
        <v>90</v>
      </c>
    </row>
    <row r="10" spans="1:21" ht="17.25" hidden="1" customHeight="1" thickTop="1" thickBot="1" x14ac:dyDescent="0.3">
      <c r="A10" s="38" t="s">
        <v>14</v>
      </c>
      <c r="B10" s="39"/>
      <c r="C10" s="39"/>
      <c r="D10" s="39"/>
      <c r="E10" s="39"/>
      <c r="F10" s="39"/>
      <c r="G10" s="39"/>
      <c r="H10" s="40">
        <f>H9*3</f>
        <v>270</v>
      </c>
      <c r="J10" s="6" t="s">
        <v>15</v>
      </c>
      <c r="K10" s="16">
        <f>H10/H9*K9</f>
        <v>204</v>
      </c>
      <c r="L10" s="8"/>
      <c r="M10" s="40">
        <f>M9*3</f>
        <v>270</v>
      </c>
      <c r="N10" s="40">
        <f>N9*3</f>
        <v>270</v>
      </c>
      <c r="O10" s="40">
        <f>O9*3</f>
        <v>270</v>
      </c>
      <c r="P10" s="40">
        <f>P9*3</f>
        <v>270</v>
      </c>
    </row>
    <row r="11" spans="1:21" ht="16.5" thickTop="1" thickBot="1" x14ac:dyDescent="0.3"/>
    <row r="12" spans="1:21" ht="33" customHeight="1" x14ac:dyDescent="0.25">
      <c r="B12" s="92" t="s">
        <v>4</v>
      </c>
      <c r="C12" s="93"/>
      <c r="D12" s="13"/>
      <c r="F12" s="88" t="s">
        <v>19</v>
      </c>
      <c r="H12" s="89" t="s">
        <v>20</v>
      </c>
      <c r="M12" s="89" t="s">
        <v>20</v>
      </c>
      <c r="N12" s="89" t="s">
        <v>20</v>
      </c>
      <c r="O12" s="89" t="s">
        <v>20</v>
      </c>
      <c r="P12" s="89" t="s">
        <v>20</v>
      </c>
    </row>
    <row r="13" spans="1:21" s="2" customFormat="1" ht="15.75" customHeight="1" thickBot="1" x14ac:dyDescent="0.3">
      <c r="B13" s="26" t="s">
        <v>5</v>
      </c>
      <c r="C13" s="26" t="s">
        <v>6</v>
      </c>
      <c r="D13" s="26" t="s">
        <v>1</v>
      </c>
      <c r="F13" s="88"/>
      <c r="G13" s="9"/>
      <c r="H13" s="90"/>
      <c r="M13" s="90"/>
      <c r="N13" s="90"/>
      <c r="O13" s="90"/>
      <c r="P13" s="90"/>
    </row>
    <row r="14" spans="1:21" s="1" customFormat="1" ht="11.25" customHeight="1" thickBot="1" x14ac:dyDescent="0.3">
      <c r="G14" s="10"/>
      <c r="H14" s="34"/>
      <c r="M14" s="34"/>
      <c r="N14" s="34"/>
      <c r="O14" s="34"/>
      <c r="P14" s="34"/>
    </row>
    <row r="15" spans="1:21" s="1" customFormat="1" ht="33" thickBot="1" x14ac:dyDescent="0.35">
      <c r="A15" s="58" t="s">
        <v>17</v>
      </c>
      <c r="B15" s="30">
        <v>137</v>
      </c>
      <c r="C15" s="30">
        <v>96</v>
      </c>
      <c r="D15" s="13"/>
      <c r="F15" s="7">
        <f>B15+C15*(H4-1)-H6</f>
        <v>-883.3</v>
      </c>
      <c r="G15" s="10">
        <v>0</v>
      </c>
      <c r="H15" s="35">
        <f>SUMIF(R15,"&gt;0")</f>
        <v>0</v>
      </c>
      <c r="M15" s="54">
        <f>SUMIF(R15,"&gt;0")</f>
        <v>0</v>
      </c>
      <c r="N15" s="54">
        <f t="shared" ref="N15:P15" si="0">SUMIF(S15,"&gt;0")</f>
        <v>0</v>
      </c>
      <c r="O15" s="54">
        <f t="shared" si="0"/>
        <v>0</v>
      </c>
      <c r="P15" s="54">
        <f t="shared" si="0"/>
        <v>0</v>
      </c>
      <c r="R15" s="52">
        <f>$B$15+$C$15*(M4-1)-M6</f>
        <v>-883.3</v>
      </c>
      <c r="S15" s="52">
        <f>$B$15+$C$15*(N4-1)-N6</f>
        <v>-1493.16</v>
      </c>
      <c r="T15" s="52">
        <f>$B$15+$C$15*(O4-1)-O6</f>
        <v>-1260.08</v>
      </c>
      <c r="U15" s="52">
        <f>$B$15+$C$15*(P4-1)-P6</f>
        <v>-891.72</v>
      </c>
    </row>
    <row r="16" spans="1:21" ht="19.5" hidden="1" customHeight="1" thickBot="1" x14ac:dyDescent="0.35">
      <c r="A16" s="14" t="s">
        <v>23</v>
      </c>
      <c r="B16" s="30">
        <v>137</v>
      </c>
      <c r="C16" s="30">
        <v>96</v>
      </c>
      <c r="D16" s="27">
        <v>1.5</v>
      </c>
      <c r="F16" s="7">
        <f>(B16+C16*(H4-1))*D16+K7+K8+K10-H6</f>
        <v>-64.799999999999955</v>
      </c>
      <c r="G16" s="10"/>
      <c r="H16" s="35">
        <f>SUMIF(F16:G16,"&gt;0")</f>
        <v>0</v>
      </c>
      <c r="M16" s="35">
        <f>SUMIF(K16:L16,"&gt;0")</f>
        <v>0</v>
      </c>
      <c r="N16" s="35">
        <f>SUMIF(L16:M16,"&gt;0")</f>
        <v>0</v>
      </c>
      <c r="O16" s="35">
        <f>SUMIF(M16:N16,"&gt;0")</f>
        <v>0</v>
      </c>
      <c r="P16" s="35">
        <f>SUMIF(N16:O16,"&gt;0")</f>
        <v>0</v>
      </c>
    </row>
    <row r="17" spans="1:21" ht="16.5" thickBot="1" x14ac:dyDescent="0.3">
      <c r="B17" s="31"/>
      <c r="C17" s="31"/>
      <c r="D17" s="3"/>
      <c r="H17" s="44" t="s">
        <v>21</v>
      </c>
      <c r="M17" s="44" t="s">
        <v>21</v>
      </c>
      <c r="N17" s="44" t="s">
        <v>21</v>
      </c>
      <c r="O17" s="44" t="s">
        <v>21</v>
      </c>
      <c r="P17" s="44" t="s">
        <v>21</v>
      </c>
    </row>
    <row r="18" spans="1:21" ht="32.25" thickBot="1" x14ac:dyDescent="0.35">
      <c r="A18" s="59" t="s">
        <v>0</v>
      </c>
      <c r="B18" s="30">
        <v>343</v>
      </c>
      <c r="C18" s="30">
        <v>240</v>
      </c>
      <c r="D18" s="15"/>
      <c r="F18" s="22">
        <f>B18+C18*($H$4-1)-$H$6</f>
        <v>-389.29999999999995</v>
      </c>
      <c r="H18" s="36" t="str">
        <f>IF(F18&gt;0,"ATBILST","NEATBILST")</f>
        <v>NEATBILST</v>
      </c>
      <c r="M18" s="55" t="str">
        <f>IF(R18&gt;0,"ATBILST","NEATBILST")</f>
        <v>NEATBILST</v>
      </c>
      <c r="N18" s="55" t="str">
        <f t="shared" ref="N18:P19" si="1">IF(S18&gt;0,"ATBILST","NEATBILST")</f>
        <v>NEATBILST</v>
      </c>
      <c r="O18" s="55" t="str">
        <f t="shared" si="1"/>
        <v>NEATBILST</v>
      </c>
      <c r="P18" s="55" t="str">
        <f t="shared" si="1"/>
        <v>NEATBILST</v>
      </c>
      <c r="R18" s="22">
        <f>$B$18+$C$18*(M4-1)-M6</f>
        <v>-389.29999999999995</v>
      </c>
      <c r="S18" s="22">
        <f>$B$18+$C$18*(N4-1)-N6</f>
        <v>-711.16000000000008</v>
      </c>
      <c r="T18" s="22">
        <f>$B$18+$C$18*(O4-1)-O6</f>
        <v>-478.07999999999993</v>
      </c>
      <c r="U18" s="22">
        <f>$B$18+$C$18*(P4-1)-P6</f>
        <v>-397.72</v>
      </c>
    </row>
    <row r="19" spans="1:21" ht="33" thickBot="1" x14ac:dyDescent="0.35">
      <c r="A19" s="58" t="s">
        <v>24</v>
      </c>
      <c r="B19" s="30">
        <v>549</v>
      </c>
      <c r="C19" s="30">
        <v>384</v>
      </c>
      <c r="D19" s="50"/>
      <c r="F19" s="22">
        <f>B19+C19*($H$4-1)-$H$6</f>
        <v>104.70000000000005</v>
      </c>
      <c r="H19" s="36" t="str">
        <f>IF(F19&gt;0,"ATBILST","NEATBILST")</f>
        <v>ATBILST</v>
      </c>
      <c r="K19" s="45"/>
      <c r="M19" s="36" t="str">
        <f>IF(R19&gt;0,"ATBILST","NEATBILST")</f>
        <v>ATBILST</v>
      </c>
      <c r="N19" s="36" t="str">
        <f t="shared" si="1"/>
        <v>ATBILST</v>
      </c>
      <c r="O19" s="36" t="str">
        <f t="shared" si="1"/>
        <v>ATBILST</v>
      </c>
      <c r="P19" s="36" t="str">
        <f t="shared" si="1"/>
        <v>ATBILST</v>
      </c>
      <c r="R19" s="22">
        <f>$B$19+$C$19*(M4-1)-M6</f>
        <v>104.70000000000005</v>
      </c>
      <c r="S19" s="22">
        <f>$B$19+$C$19*(N4-1)-N6</f>
        <v>70.839999999999918</v>
      </c>
      <c r="T19" s="22">
        <f>$B$19+$C$19*(O4-1)-O6</f>
        <v>303.92000000000007</v>
      </c>
      <c r="U19" s="22">
        <f>$B$19+$C$19*(P4-1)-P6</f>
        <v>96.279999999999973</v>
      </c>
    </row>
    <row r="20" spans="1:21" ht="33" thickBot="1" x14ac:dyDescent="0.35">
      <c r="A20" s="58" t="s">
        <v>7</v>
      </c>
      <c r="B20" s="30">
        <v>411</v>
      </c>
      <c r="C20" s="30">
        <v>288</v>
      </c>
      <c r="D20" s="15"/>
      <c r="F20" s="22">
        <f>B20+C20*($H$4-1)-$H$6</f>
        <v>-225.29999999999995</v>
      </c>
      <c r="H20" s="36" t="str">
        <f t="shared" ref="H20" si="2">IF(F20&gt;0,"ATBILST","NEATBILST")</f>
        <v>NEATBILST</v>
      </c>
      <c r="M20" s="55" t="str">
        <f>IF(R20&gt;0,"ATBILST","NEATBILST")</f>
        <v>NEATBILST</v>
      </c>
      <c r="N20" s="55" t="str">
        <f>IF(S20&gt;0,"ATBILST","NEATBILST")</f>
        <v>NEATBILST</v>
      </c>
      <c r="O20" s="55" t="str">
        <f>IF(T20&gt;0,"ATBILST","NEATBILST")</f>
        <v>NEATBILST</v>
      </c>
      <c r="P20" s="55" t="str">
        <f>IF(U20&gt;0,"ATBILST","NEATBILST")</f>
        <v>NEATBILST</v>
      </c>
      <c r="R20" s="22">
        <f>$B$20+$C$20*(M4-1)-M6</f>
        <v>-225.29999999999995</v>
      </c>
      <c r="S20" s="22">
        <f>$B$20+$C$20*(N4-1)-N6</f>
        <v>-451.16000000000008</v>
      </c>
      <c r="T20" s="22">
        <f>$B$20+$C$20*(O4-1)-O6</f>
        <v>-218.07999999999993</v>
      </c>
      <c r="U20" s="22">
        <f>$B$20+$C$20*(P4-1)-P6</f>
        <v>-233.72000000000003</v>
      </c>
    </row>
    <row r="21" spans="1:21" ht="50.25" customHeight="1" x14ac:dyDescent="0.25">
      <c r="O21" s="61" t="s">
        <v>46</v>
      </c>
      <c r="P21" s="62" t="s">
        <v>49</v>
      </c>
    </row>
    <row r="22" spans="1:21" ht="15" customHeight="1" x14ac:dyDescent="0.25">
      <c r="A22" t="s">
        <v>8</v>
      </c>
      <c r="O22" s="53"/>
      <c r="P22" s="60"/>
    </row>
    <row r="23" spans="1:21" x14ac:dyDescent="0.25">
      <c r="A23" t="s">
        <v>9</v>
      </c>
      <c r="O23" s="53"/>
      <c r="P23" s="60"/>
    </row>
    <row r="24" spans="1:21" x14ac:dyDescent="0.25">
      <c r="A24" t="s">
        <v>10</v>
      </c>
    </row>
    <row r="25" spans="1:21" x14ac:dyDescent="0.25">
      <c r="A25" t="s">
        <v>25</v>
      </c>
    </row>
    <row r="26" spans="1:21" x14ac:dyDescent="0.25">
      <c r="A26" t="s">
        <v>22</v>
      </c>
    </row>
    <row r="27" spans="1:21" x14ac:dyDescent="0.25">
      <c r="A27" t="s">
        <v>34</v>
      </c>
    </row>
    <row r="28" spans="1:21" x14ac:dyDescent="0.25">
      <c r="A28" s="4" t="s">
        <v>32</v>
      </c>
    </row>
    <row r="29" spans="1:21" x14ac:dyDescent="0.25">
      <c r="A29" t="s">
        <v>26</v>
      </c>
    </row>
    <row r="31" spans="1:21" ht="18.75" x14ac:dyDescent="0.3">
      <c r="A31" s="19" t="s">
        <v>36</v>
      </c>
    </row>
    <row r="32" spans="1:21" hidden="1" x14ac:dyDescent="0.25">
      <c r="A32" s="4" t="s">
        <v>11</v>
      </c>
    </row>
    <row r="33" spans="1:9" ht="21.75" hidden="1" customHeight="1" x14ac:dyDescent="0.25">
      <c r="A33" s="18" t="s">
        <v>12</v>
      </c>
      <c r="E33" s="88" t="s">
        <v>27</v>
      </c>
      <c r="F33" s="88"/>
    </row>
    <row r="34" spans="1:9" ht="15.75" customHeight="1" x14ac:dyDescent="0.25">
      <c r="B34" s="26" t="s">
        <v>5</v>
      </c>
      <c r="C34" s="26" t="s">
        <v>6</v>
      </c>
      <c r="E34" s="88"/>
      <c r="F34" s="88"/>
      <c r="H34" s="91" t="s">
        <v>19</v>
      </c>
      <c r="I34" s="91"/>
    </row>
    <row r="35" spans="1:9" x14ac:dyDescent="0.25">
      <c r="A35" t="s">
        <v>35</v>
      </c>
      <c r="B35" s="27">
        <v>32</v>
      </c>
      <c r="C35" s="27">
        <v>18</v>
      </c>
      <c r="E35" s="24" t="s">
        <v>28</v>
      </c>
      <c r="F35" s="24">
        <f>B35+C35*(H4-1)</f>
        <v>68</v>
      </c>
      <c r="H35" s="21">
        <f>F35-H9</f>
        <v>-22</v>
      </c>
      <c r="I35" s="27">
        <f>SUMIF(H35,"&lt;0")</f>
        <v>-22</v>
      </c>
    </row>
    <row r="36" spans="1:9" x14ac:dyDescent="0.25">
      <c r="A36" t="s">
        <v>30</v>
      </c>
      <c r="B36" s="20">
        <v>5</v>
      </c>
      <c r="C36" s="27" t="s">
        <v>13</v>
      </c>
      <c r="E36" s="24" t="s">
        <v>13</v>
      </c>
      <c r="F36" s="25">
        <f>F35*B36</f>
        <v>340</v>
      </c>
    </row>
    <row r="37" spans="1:9" x14ac:dyDescent="0.25">
      <c r="A37" t="s">
        <v>29</v>
      </c>
    </row>
  </sheetData>
  <mergeCells count="17">
    <mergeCell ref="A1:C1"/>
    <mergeCell ref="A2:B3"/>
    <mergeCell ref="R2:T2"/>
    <mergeCell ref="N2:N3"/>
    <mergeCell ref="M2:M3"/>
    <mergeCell ref="P2:P3"/>
    <mergeCell ref="P12:P13"/>
    <mergeCell ref="M12:M13"/>
    <mergeCell ref="N12:N13"/>
    <mergeCell ref="O12:O13"/>
    <mergeCell ref="O2:O3"/>
    <mergeCell ref="B12:C12"/>
    <mergeCell ref="J4:K6"/>
    <mergeCell ref="F12:F13"/>
    <mergeCell ref="H12:H13"/>
    <mergeCell ref="E33:F34"/>
    <mergeCell ref="H34:I34"/>
  </mergeCells>
  <hyperlinks>
    <hyperlink ref="A32" r:id="rId1"/>
    <hyperlink ref="A28" r:id="rId2"/>
  </hyperlinks>
  <pageMargins left="0.70866141732283472" right="0.70866141732283472" top="0.74803149606299213" bottom="0.74803149606299213" header="0.31496062992125984" footer="0.31496062992125984"/>
  <pageSetup paperSize="9" scale="74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Aprēķinam 0101_30042026</vt:lpstr>
      <vt:lpstr>Aprēķinam no 0105_31102026</vt:lpstr>
      <vt:lpstr>Aprēķinam no 01112026</vt:lpstr>
      <vt:lpstr>Dažādi</vt:lpstr>
      <vt:lpstr>'Aprēķinam 0101_30042026'!Print_Area</vt:lpstr>
      <vt:lpstr>'Aprēķinam no 0105_31102026'!Print_Area</vt:lpstr>
      <vt:lpstr>'Aprēķinam no 01112026'!Print_Area</vt:lpstr>
      <vt:lpstr>Dažādi!Print_Area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2024-03-27T08:10:12Z</cp:lastPrinted>
  <dcterms:created xsi:type="dcterms:W3CDTF">2024-01-12T10:32:00Z</dcterms:created>
  <dcterms:modified xsi:type="dcterms:W3CDTF">2026-03-01T22:36:34Z</dcterms:modified>
</cp:coreProperties>
</file>